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7495" windowHeight="13740"/>
  </bookViews>
  <sheets>
    <sheet name="Belo Monte" sheetId="1" r:id="rId1"/>
    <sheet name="Bacia Tapajós" sheetId="2" r:id="rId2"/>
  </sheets>
  <calcPr calcId="145621"/>
</workbook>
</file>

<file path=xl/calcChain.xml><?xml version="1.0" encoding="utf-8"?>
<calcChain xmlns="http://schemas.openxmlformats.org/spreadsheetml/2006/main">
  <c r="I73" i="2" l="1"/>
  <c r="F73" i="2"/>
  <c r="J72" i="2"/>
  <c r="I72" i="2"/>
  <c r="F72" i="2"/>
  <c r="J71" i="2"/>
  <c r="I70" i="2"/>
  <c r="I69" i="2"/>
  <c r="J68" i="2"/>
  <c r="I68" i="2"/>
  <c r="F68" i="2"/>
  <c r="I66" i="2"/>
  <c r="J65" i="2"/>
  <c r="I65" i="2"/>
  <c r="F65" i="2"/>
  <c r="J64" i="2"/>
  <c r="J63" i="2"/>
  <c r="I62" i="2"/>
  <c r="I61" i="2"/>
  <c r="J60" i="2"/>
  <c r="I60" i="2"/>
  <c r="F60" i="2"/>
  <c r="I59" i="2"/>
  <c r="J58" i="2"/>
  <c r="I58" i="2"/>
  <c r="F58" i="2"/>
  <c r="I57" i="2"/>
  <c r="J56" i="2"/>
  <c r="I56" i="2"/>
  <c r="F56" i="2"/>
  <c r="I55" i="2"/>
  <c r="J54" i="2"/>
  <c r="I54" i="2"/>
  <c r="F54" i="2"/>
  <c r="I52" i="2"/>
  <c r="J51" i="2"/>
  <c r="I51" i="2"/>
  <c r="F51" i="2"/>
  <c r="I49" i="2"/>
  <c r="I48" i="2"/>
  <c r="J47" i="2"/>
  <c r="I47" i="2"/>
  <c r="I45" i="2"/>
  <c r="J42" i="2"/>
  <c r="F42" i="2"/>
  <c r="J40" i="2"/>
  <c r="J39" i="2"/>
  <c r="I39" i="2"/>
  <c r="F39" i="2"/>
  <c r="I38" i="2"/>
  <c r="J37" i="2"/>
  <c r="F37" i="2"/>
  <c r="I36" i="2"/>
  <c r="I35" i="2"/>
  <c r="I34" i="2"/>
  <c r="I33" i="2"/>
  <c r="I32" i="2"/>
  <c r="I31" i="2"/>
  <c r="J30" i="2"/>
  <c r="I30" i="2"/>
  <c r="F30" i="2"/>
  <c r="I29" i="2"/>
  <c r="I28" i="2"/>
  <c r="I27" i="2"/>
  <c r="J26" i="2"/>
  <c r="I26" i="2"/>
  <c r="F26" i="2"/>
  <c r="I24" i="2"/>
  <c r="J23" i="2"/>
  <c r="F23" i="2"/>
  <c r="I21" i="2"/>
  <c r="I20" i="2"/>
  <c r="J19" i="2"/>
  <c r="I19" i="2"/>
  <c r="F19" i="2"/>
  <c r="J18" i="2"/>
  <c r="I18" i="2"/>
  <c r="I17" i="2"/>
  <c r="I16" i="2"/>
  <c r="J15" i="2"/>
  <c r="F15" i="2"/>
  <c r="I14" i="2"/>
  <c r="I13" i="2"/>
  <c r="I12" i="2"/>
  <c r="J11" i="2"/>
  <c r="I11" i="2"/>
  <c r="F11" i="2"/>
  <c r="I9" i="2"/>
  <c r="I8" i="2"/>
  <c r="J7" i="2"/>
  <c r="I7" i="2"/>
  <c r="F7" i="2"/>
  <c r="I5" i="2"/>
  <c r="I4" i="2"/>
  <c r="I3" i="2"/>
  <c r="J2" i="2"/>
  <c r="I2" i="2"/>
  <c r="F2" i="2"/>
  <c r="H74" i="1"/>
  <c r="G74" i="1"/>
  <c r="E74" i="1"/>
  <c r="G73" i="1"/>
  <c r="H72" i="1"/>
  <c r="G72" i="1"/>
  <c r="H71" i="1"/>
  <c r="E71" i="1"/>
  <c r="H70" i="1"/>
  <c r="E70" i="1"/>
  <c r="G69" i="1"/>
  <c r="G68" i="1"/>
  <c r="H67" i="1"/>
  <c r="G67" i="1"/>
  <c r="E67" i="1"/>
  <c r="H65" i="1"/>
  <c r="G65" i="1"/>
  <c r="E65" i="1"/>
  <c r="H63" i="1"/>
  <c r="G63" i="1"/>
  <c r="E63" i="1"/>
  <c r="H62" i="1"/>
  <c r="G62" i="1"/>
  <c r="E62" i="1"/>
  <c r="G61" i="1"/>
  <c r="H60" i="1"/>
  <c r="G60" i="1"/>
  <c r="E60" i="1"/>
  <c r="G59" i="1"/>
  <c r="H58" i="1"/>
  <c r="G58" i="1"/>
  <c r="E58" i="1"/>
  <c r="G57" i="1"/>
  <c r="H56" i="1"/>
  <c r="E56" i="1"/>
  <c r="G55" i="1"/>
  <c r="H54" i="1"/>
  <c r="G54" i="1"/>
  <c r="E54" i="1"/>
  <c r="H52" i="1"/>
  <c r="E52" i="1"/>
  <c r="G50" i="1"/>
  <c r="H49" i="1"/>
  <c r="G49" i="1"/>
  <c r="E49" i="1"/>
  <c r="G47" i="1"/>
  <c r="H46" i="1"/>
  <c r="E46" i="1"/>
  <c r="G45" i="1"/>
  <c r="H44" i="1"/>
  <c r="E44" i="1"/>
  <c r="G43" i="1"/>
  <c r="H41" i="1"/>
  <c r="G41" i="1"/>
  <c r="H40" i="1"/>
  <c r="G40" i="1"/>
  <c r="E40" i="1"/>
  <c r="H37" i="1"/>
  <c r="G37" i="1"/>
  <c r="H36" i="1"/>
  <c r="G36" i="1"/>
  <c r="E36" i="1"/>
  <c r="G34" i="1"/>
  <c r="H33" i="1"/>
  <c r="G33" i="1"/>
  <c r="H32" i="1"/>
  <c r="G32" i="1"/>
  <c r="E32" i="1"/>
  <c r="G31" i="1"/>
  <c r="G30" i="1"/>
  <c r="H29" i="1"/>
  <c r="G29" i="1"/>
  <c r="E29" i="1"/>
  <c r="G26" i="1"/>
  <c r="H25" i="1"/>
  <c r="E25" i="1"/>
  <c r="H24" i="1"/>
  <c r="H23" i="1"/>
  <c r="G23" i="1"/>
  <c r="E23" i="1"/>
  <c r="H21" i="1"/>
  <c r="H20" i="1"/>
  <c r="G20" i="1"/>
  <c r="H19" i="1"/>
  <c r="E19" i="1"/>
  <c r="G17" i="1"/>
  <c r="G16" i="1"/>
  <c r="G14" i="1"/>
  <c r="H13" i="1"/>
  <c r="G13" i="1"/>
  <c r="E13" i="1"/>
  <c r="H11" i="1"/>
  <c r="G11" i="1"/>
  <c r="E11" i="1"/>
  <c r="G10" i="1"/>
  <c r="G9" i="1"/>
  <c r="G8" i="1"/>
  <c r="H7" i="1"/>
  <c r="G7" i="1"/>
  <c r="H6" i="1"/>
  <c r="G6" i="1"/>
  <c r="E6" i="1"/>
  <c r="G4" i="1"/>
  <c r="G3" i="1"/>
  <c r="H2" i="1"/>
  <c r="E2" i="1"/>
</calcChain>
</file>

<file path=xl/sharedStrings.xml><?xml version="1.0" encoding="utf-8"?>
<sst xmlns="http://schemas.openxmlformats.org/spreadsheetml/2006/main" count="362" uniqueCount="311">
  <si>
    <t>Processo nº</t>
  </si>
  <si>
    <t>Usina</t>
  </si>
  <si>
    <t>Assunto</t>
  </si>
  <si>
    <t>Réus</t>
  </si>
  <si>
    <t>Íntegra da inicial</t>
  </si>
  <si>
    <t>Vara</t>
  </si>
  <si>
    <t>Histórico</t>
  </si>
  <si>
    <t>Docs. do histórico</t>
  </si>
  <si>
    <t>Andamento processual</t>
  </si>
  <si>
    <t>003883-98.2012.4.01.3902</t>
  </si>
  <si>
    <t xml:space="preserve">5850-73.2001.4.01.3900 </t>
  </si>
  <si>
    <t>São Luiz do Tapajós</t>
  </si>
  <si>
    <t>LICENCIAMENTO CONDUZIDO POR ÓRGÃO INCOMPETENTE. AUSÊNCIA DE LICITAÇÃO PARA CONTRATAÇÃO DE EIA-RIMA. Seja concedida medida liminar, inaudita altera pars, para sustar, imediatamente, a elaboração do EIA/RIMA da UHE BELO MONTE, e, consequentemente, o repasse de novas parcelas do ajuste, sob pena de multa diária de R$ 1.000.000,00 (um milhão de Reais) Seja a Ação julgada procedente para:Tornar nulo o Convênio n.º RD 0289/00, celebrado entre as rés, obrigando-se a FADESP a devolver o saldo de recursos financeiros não utilizados ainda no pagamento dos técnicos por ela contratados; tornar nulo o Termo de Referência da obra UHE BELO MONTE, posto que submetido a órgão incompetente para a sua apreciação; condenar as rés ao ônus de sucumbência e demais cominações legais.</t>
  </si>
  <si>
    <t>Consulta prévia</t>
  </si>
  <si>
    <t>Ibama / Aneel / Eletrobrás / Eletronorte</t>
  </si>
  <si>
    <t>Eletronorte / Fadesp</t>
  </si>
  <si>
    <t>Vara Única de Itaituba</t>
  </si>
  <si>
    <t>Liminar deferida em 19/11/2013 pelo juiz Airton Aguiar Portela. Embargos de declaração das partes rejeitados.</t>
  </si>
  <si>
    <t>Sentença considerando procedente em parte na primeira instância.</t>
  </si>
  <si>
    <t xml:space="preserve">Agravo de Instrumento do MPF para parar a Operação Tapajós. Deferido em 12/04/2013 pelo desembargador João Batista Moreira. </t>
  </si>
  <si>
    <t>Sentença confirmada em acórdão do TRF1, seguindo o voto da relatora</t>
  </si>
  <si>
    <t>Suspensão de segurança concedida pelo presidente do STJ, Félix Fischer, em 22/04/2013. SLS nº 1745</t>
  </si>
  <si>
    <t>Sentença proibindo o governo de licenciar a usina sem consulta prévia, do juiz Ilan Presser, em 15/06/2015.</t>
  </si>
  <si>
    <t>Apelação Cível no TRF1. Relator Des Hilton Queiroz</t>
  </si>
  <si>
    <t>Trânsito em julgado.  
709-88.2006.4.01.3903
(Localização Atual: TRF1)</t>
  </si>
  <si>
    <t>0709-88.2006.4.01.3903</t>
  </si>
  <si>
    <t>ILEGALIDADE DO DECRETO LEGISLATIVO 788/2005. AUSÊNCIA DE CONSULTAS INDÍGENAS. Sustação liminar de qualquer procedimento empreeendido pelo IBAMA para condução do licenciamento ambiental da Usina Hidrelétrica de Belo Monte, especificamente das audiências públicas programadas para os dias 30 e 31 de março de 2006 nas cidades de Altamira e Vitória do Xingu; Condenação do IBAMA em obrigação de não-fazer, consistente na proibição de adotar atos administrativos referentes ao licenciamento ambiental da Usina Hidrelétrica de Belo Monte.</t>
  </si>
  <si>
    <t>Eletronorte / Eletrobrás / Ibama / Funai</t>
  </si>
  <si>
    <t>006037-50.2011.4.01.3603</t>
  </si>
  <si>
    <t>Sinop</t>
  </si>
  <si>
    <t>EIA/RIMA irregular</t>
  </si>
  <si>
    <t>EPE / União / Estado de Mato Grosso</t>
  </si>
  <si>
    <t>Sentença considerando improcedente, do juiz
Herculano Nacif.</t>
  </si>
  <si>
    <t>2ª Vara Sinop</t>
  </si>
  <si>
    <t>Liminar indeferida em 28/09/2011.</t>
  </si>
  <si>
    <t xml:space="preserve">Acórdão confirmando sentença em decisão colegiada do TRF1, vencido voto da desembargadora-relatora Selene Almeida.
</t>
  </si>
  <si>
    <t>Medida Cautelar para suspender o Leilão A-5 deferida em 12/12/2012.</t>
  </si>
  <si>
    <t>Suspensão de  de segurança concedida pelo presidente do TRF1, Mário César Ribeiro em 14/12/2012. SLAT nº 0078534-70.2012.4.01.0000/MT</t>
  </si>
  <si>
    <t>Decisão de 20/10/2016 do juiz Marcel Queiroz Linhares, da 2a vara de Sinop, ordena perícia no Eia/Rima</t>
  </si>
  <si>
    <t>1294-89.2014.4.01.3603</t>
  </si>
  <si>
    <t>MPF opôs embargos de declaração e venceu, por unanimidade, na 5ª Turma do TRF1.
283-42.2007.4.01.3903
(Localização Atual: TRF1)</t>
  </si>
  <si>
    <t xml:space="preserve">Descumprimento das condicionantes da licença prévia. Suspensão da licença de instalação
</t>
  </si>
  <si>
    <t>Cia Energética Sinop / Estado do Mato Grosso / BNDES</t>
  </si>
  <si>
    <t>Governo recorreu ao STF em reclamação, obtendo suspensão da decisão do TRF1. Governo interpôs Recurso Especial e Recurso Extraordinário - Concluso à presidência do STF desde 11/2015.</t>
  </si>
  <si>
    <t>1ª Vara Sinop</t>
  </si>
  <si>
    <t>Liminar deferida em 01/04/2014</t>
  </si>
  <si>
    <t>Suspensão de segurança concedida pelo presidente do TRF1 em 10/7/2014</t>
  </si>
  <si>
    <t>0283-42.2007.4.01.3903</t>
  </si>
  <si>
    <t>EIA RIMA EM CONFECÇÃO SEM TERMO DE REFERÊNCIA. Que a ELETROBRÁS paralise IMEDIATAMENTE os Estudos de Viabilidade da Usina Hidrelétrica de Belo Monte por ela DIRETAMENTE OU INDIRETAMENTE desenvolvidos até a edição do competente Termo de Referência pelo IBAMA; Sustação da entrega de qualquer parcela do Estudo à ANEEL até a edição do competente Termo de Referência pelo IBAMA; Sustação de qualquer exposição dos Estudos à população dos municípios afetados pelo empreendimento, especificamente por meio de audiências públicas, até a edição do competente Termo de Referência pelo IBAMA.</t>
  </si>
  <si>
    <t>Sentença considerando improcedente do juiz Murilo Mendes, em 24 de setembro de 2015.</t>
  </si>
  <si>
    <t>Eletrobrás</t>
  </si>
  <si>
    <t>Apelação cível do MPF julgada improcedente por unanimidade na 6a Turma do TRF1 em 20/2/2017, seguindo voto do relator Jirair Meguerian. MPF entrou com recurso extraordinário, aguardando juízo de admissibilidade.</t>
  </si>
  <si>
    <t>Sentença considerando improcedente, do juiz Herculano Nacif. MPF entrou com apelação cível.</t>
  </si>
  <si>
    <t xml:space="preserve">7786-39.2010.4.01.3603 </t>
  </si>
  <si>
    <t>Sinop, Colíder e Magessi</t>
  </si>
  <si>
    <t>Licenciamento estadual irregular</t>
  </si>
  <si>
    <t>Sema-MT / Ibama / Estado do Mato Grosso / EPE</t>
  </si>
  <si>
    <t>Aguarda julgamento na 2ª Instância. Relatora Desembargadora Gilda Sigmaringa Seixas.
3843-98.2007.4.01.3900</t>
  </si>
  <si>
    <t>Liminar deferida ordenando o licenciamento federal das UHES Sinop, Colíder e Magessi, em 02/12/20112ª Vara Sinop</t>
  </si>
  <si>
    <t>Liminar</t>
  </si>
  <si>
    <t>3843-98.2007.4.01.3900</t>
  </si>
  <si>
    <t>CONVÊNIO ENTRE ELETROBRÁS E EMPREITEIRAS PARA CONFECÇÃO DE EIA-RIMA. AUSÊNCIA DE LICITAÇÃO. CLÁUSULA DE CONFIDENCIALIDADE IRREGULAR.Suspensão dos efeitos do “Acordo de Cooperação Técnica” ECE-120/2005, bem como de todo e qualquer ato produzido por força do aludido instrumento até o julgamento final da presente demanda</t>
  </si>
  <si>
    <t xml:space="preserve">Eletrobrás / Norberto Odebrecht / Andrade Gutierrez / Camargo Correa </t>
  </si>
  <si>
    <t>Suspensão de Segurança concedida pelo presidente do TRF1, Olindo Menezes, em 16/01/2012. SLAT nº 0075621-52.2011.4.01.0000/MT</t>
  </si>
  <si>
    <t>Liminar concedida em 15/04/2008.</t>
  </si>
  <si>
    <t>Sentença julgando improcedente em maio de 2014, do juiz Eduardo de Melo Gama.</t>
  </si>
  <si>
    <t>Após Reexame Necessário na 5a Turma do TRF1, pedidos tiveram o provimento negado por maioria, vencido o desembargador Souza Prudente. MPF entrou com recursos especial e extraordinário pendentes de exame de admissibilidade.</t>
  </si>
  <si>
    <t>Suspenso por antecipação de tutela concedida pela relatora Selene Almeida em 16/05/2008, que no entanto proíbe a Cláusula de Confidencialidade.</t>
  </si>
  <si>
    <t>33146-55.2010.4.01.3900</t>
  </si>
  <si>
    <t>Teles Pires</t>
  </si>
  <si>
    <t>Irregularidades do EIA/RIMA</t>
  </si>
  <si>
    <t xml:space="preserve">Aguarda julgamento na 1ª Instância.
Declinado para Altamira. 
Atamira declinou para Belém.
218-13.2008.4.01.3903
0003456-83.2007.4.01.3900
</t>
  </si>
  <si>
    <t>União / Ibama / EPE</t>
  </si>
  <si>
    <t>9ª Vara Federal Belém</t>
  </si>
  <si>
    <t>REsp nº 1320749 / PA (2012/0086088-9)
(Localização atual: STJ)
Sentença em 3/2/2014 com exame do mérito pedido improcedente.</t>
  </si>
  <si>
    <t>Liminar deferida em 14/12/2010</t>
  </si>
  <si>
    <t xml:space="preserve">Suspensão de Segurança concedida pelo presidente do TRF1, Olindo Menezes, em 16/12/2010. SLAT Nº 0079621-32.2010.4.01.0000
</t>
  </si>
  <si>
    <t>MPF apelou da sentença ao TRF1. Julgamento em 31/08/2016 pela 5a Turma, com provimento, por unanimidade, cancelando o acordo da Eletrobrás e das empreiteiras e ordenando que elas se retirem da obra de Belo Monte.</t>
  </si>
  <si>
    <t>Sentença considerando improcedentes os pedidos, do juiz Arthur Pinheiro Chaves, em 9/2/2015</t>
  </si>
  <si>
    <t xml:space="preserve">Apelação do MPF. Relator: Daniel Paes Ribeiro
</t>
  </si>
  <si>
    <t>7742-83.2011.4.01.3603</t>
  </si>
  <si>
    <t>Eletrobrás recorreu em embargos de declaração</t>
  </si>
  <si>
    <t>Licenças concedidas sem manifestação da Assembleia Legislativa e sem participação do Conselho Estadual de Meio Ambiente</t>
  </si>
  <si>
    <t>CHTP / Neoenergia / Eletrosul / Furnas / Odebrecht / Ibama</t>
  </si>
  <si>
    <t>0218-13.2008.4.01.3903</t>
  </si>
  <si>
    <t xml:space="preserve">CONVÊNIO ENTRE ELETROBRÁS E EMPREITEIRAS PARA CONFECÇÃO DE EIA-RIMA. AUSÊNCIA DE LICITAÇÃO. CLÁUSULA DE CONFIDENCIALIDADE IRREGULAR. Identificação de contas correntes, contas poupança e investimentos existentes em nome dos demandados, procedendo-se, com a resposta destas instituições, seja decretada a indisponibilidade dos bens dos requeridos, com o seu consequente seqüestro (art. 16, da Lei 8429/92) e bloqueio de suas contas bancárias até o montante que assegure o integral ressarcimento dos danos, no valor de R$ 36.231,86 </t>
  </si>
  <si>
    <t>Liminar indeferida em 5/12/2011.</t>
  </si>
  <si>
    <t xml:space="preserve">Andrade Gutierrez / Norberto Odebrecht / Camargo Correa / Aloisio Marcos Vasconcelos Novais / Rogerio da Silva </t>
  </si>
  <si>
    <t>Sentença considerando improcedente do juiz Eduardo de Melo Gama, em 17/01/2014</t>
  </si>
  <si>
    <t>Trânsito em julgado em 10/09/2014</t>
  </si>
  <si>
    <t xml:space="preserve">Sentença considerando improcedente sem exame do mérito, juiz Antonio Carlos de Almeida Campelo. No TRF, 25779-77.2010.4.01.3900 (Localização atual: TRF1) </t>
  </si>
  <si>
    <t xml:space="preserve">Sentença
</t>
  </si>
  <si>
    <t xml:space="preserve">3947-44.2012.4.01.3600 </t>
  </si>
  <si>
    <t>Ausência de consulta prévia</t>
  </si>
  <si>
    <t>EPE / Ibama / CHTP</t>
  </si>
  <si>
    <t>Apelação foi negada pela 3ª Turma.</t>
  </si>
  <si>
    <t>2ª Vara Cuiabá</t>
  </si>
  <si>
    <t>Liminar anulando a LI nº 818/2011 e suspendendo o licenciamento, concedida em 26/03/2012.</t>
  </si>
  <si>
    <t xml:space="preserve">MPF entrou com Recurso Especial que tramita no STJ com relatoria do Ministro Benedito Gonçalves. Ministro negou seguimento ao Recurso em 17/10/2014. MPF recorreu em agravo regimental. </t>
  </si>
  <si>
    <t>Suspensão de segurança concedida pelo presidente do TRF1, Olindo Menezes em 09/04/2012. SLAT nº 0018625-97.2012.4.01.0000/MT</t>
  </si>
  <si>
    <t>Sentença com exame do mérito pedido procedente em 12/11/2014. Tornada sem eficácia pela suspensão de segurança anterior.</t>
  </si>
  <si>
    <t xml:space="preserve">Apelação dos reús negada por unanimidade, seguindo o voto do relator Souza Prudente. </t>
  </si>
  <si>
    <t xml:space="preserve">Recurso especial admitido, processo encaminhado ao STJ. Recurso negado. Trânsito em julgado em 18/08/2015
</t>
  </si>
  <si>
    <t>005891-81.2012.4.01.3600</t>
  </si>
  <si>
    <t>Ausência de Estudo de Componente Indígena</t>
  </si>
  <si>
    <t>EPE / CHTP / Ibama</t>
  </si>
  <si>
    <t>25779-77.2010.4.01.3900</t>
  </si>
  <si>
    <t>Sentença extinguindo sem exame do mérito por litispendência com a ACP 3947-44.2012.4.01.3600, em 31/05/2012</t>
  </si>
  <si>
    <t>AUSÊNCIA DE AVALIAÇÃO AMBIENTAL INTEGRADA. NULIDADE DO INVENTÁRIO HIDRELÉTRICO. NULIDADE DO REGISTRO DE VIABILIDADE DA UHE BELO MONTE. NULIDADE DO ACEITE DO EIA-RIMA POR INCOMPLETO. Declarar a nulidade da ato administrativo de aprovação do Inventário Hidrelétrico da Bacia Hidrográfica do Rio Xingu, a nulidade do registro do Estudo de Viabilidade do AHE Belo Monte por consequente nulidade originária, a nulidade do procedimento de Licenciamento Ambiental e do consequente Estudo de Impacto Ambiental e seu resumo (EIA/RIMA) por nulidade originária, a nulidade do ato administrativo do aceite do EIA/RIMA proferido pelo Ibama: por apresentar vício no que tange a não exigir que todas as condicionantes apresentadas no termo de checagem do EIA/RIMA com o Termo de Referência, sejam apresentadas antes da decisão do aceite, violando a Instrução Normativa 184/2008 Ibama, bem como os princípios constitucionais da publicidade e da participação democrática.</t>
  </si>
  <si>
    <t>Ibama / Eletrobrás / Eletronorte / Andrade Gutierrez / Camargo Correa / Norberto Odebrecht / Aneel</t>
  </si>
  <si>
    <t>Decisão monocrática do des Antonio Souza Prudente em favor de apelação do MPF afasta litispendência e anula a LI por ausência de componente indígena e determina julgamento do feito em 13/09/2013</t>
  </si>
  <si>
    <t>Sentença do juiz Arthur Pinheiro Chaves considerando improcedente em 01/06/2012. 0000363-35.2009.4.01.3903     -  (Localização atual: TRF1)</t>
  </si>
  <si>
    <t>Suspensão de segurança contra a decisão monocrática concedida pelo presidente do TRF1, Mário César Ribeiro, em 3/10/2013 (mantendo a eficácia da suspensão de segurança do processo 3947-44.2012.4.01.3600)</t>
  </si>
  <si>
    <t>5ª Turma do TRF1, por unanimidade, dá provimento à apelação do MPF para determinar o prosseguimento do feito na 1ª instância, em 09/10/2013.</t>
  </si>
  <si>
    <t>MPF entrou com Apelação Cível no TRF-1. Relator Desembargador Jirair Megueriam</t>
  </si>
  <si>
    <t>5ª Turma do TRF1, por maioria, nega provimento à agravo regimental dos réus, mantendo decisão monocrática do presidente da turma e anulando a LI, em 09/10/2013.</t>
  </si>
  <si>
    <t>0363-35.2009.4.01.3903</t>
  </si>
  <si>
    <t xml:space="preserve">ACEITE ILEGAL DE ESTUDO DE IMPACTO AMBIENTAL/RELATÓRIO DE IMPACTO SOBRE O MEIO AMBIENTE. VIOLAÇÃO DOS PRINCÍPIOS DA PARTICIPAÇÃO POPULAR, DA PUBLICIDADE, DA RAZOABILIDADE, DA FINALIDADE, DA MOTIVAÇÃO, DA LEGALIDADE. OFENSA À PROBIDADE ADMINISTRATIVA. Condenação às penas previstas no artigo 12, III, da Lei de Improbidade Administrativa. </t>
  </si>
  <si>
    <t>Adriano Rafael Arrepia Queiroz</t>
  </si>
  <si>
    <t>Suspensão de segurança contra o acórdão da 5a Turma do  TRF1, concedida pelo presidente Mário César Ribeiro, em 3/10/2013 (mantendo a eficácia da suspensão de segurança do processo 3947-44.2012.4.01.3600)</t>
  </si>
  <si>
    <t xml:space="preserve">Recurso especial admitido, processo encaminhado ao STJ. Recurso negado. Trânsito em julgado em 18/08/2015. Andamento processual no STJ
</t>
  </si>
  <si>
    <t>Suspensão de liminar contra o acórdão da 5ª Turma do TRF1, concedida pelo presidente do STF em exercício, Ricardo Lewandowski em 26/09/2013</t>
  </si>
  <si>
    <t xml:space="preserve">Em 24/09/2013, a 4ª Turma do TRF1, acompanhando voto da relatora juíza federal convocada Clemência Maria Almada Lima de Ângelo, negou por unanimidade provimento à apelação do MPF. </t>
  </si>
  <si>
    <t>009024-63.2014.4.01.3600</t>
  </si>
  <si>
    <t>MPF opôs embargos de declaração, embargos rejeitados por unanimidade na 4a Turma do TRF1.</t>
  </si>
  <si>
    <t>Efetivo fornecimento de água potável à população das terras indígenas Kayabu e Munduruku</t>
  </si>
  <si>
    <t>União / CHTP</t>
  </si>
  <si>
    <t>1ª Vara Cuiabá</t>
  </si>
  <si>
    <t>Liminar indeferida pelo juiz Ilan Presser em 2/7/2014</t>
  </si>
  <si>
    <t>Recursos especial e extraordinário negada admissibilidade. Trânsito em julgado.</t>
  </si>
  <si>
    <t>Perícia sanitária deferida. Perícia antropológica indeferida. Agravo do MPF negado pela 6a Turma, por unanimidade, em 11/4/2016</t>
  </si>
  <si>
    <t>26161-70.2010.4.01.3900 ATENÇÃO: Processo sem informação na segunda instância</t>
  </si>
  <si>
    <t>VIOLAÇÃO DO DIREITO DE INFORMAÇÃO E PARTICIPAÇÃO. METODOLOGIA DE AUDIÊNCIAS PÚBLICAS FALHA. ESTUDOS AMBIENTAIS INCOMPLETOS. NÚMERO DE AUDIÊNCIAS INSUFICIENTE PARA ATENDER OS ATINGIDOS. NULIDADE DE AUDIÊNCIAS POR VIOLAÇÃO DAS FUNÇÕES INSTITUCIONAIS DO MINISTÉRIO PÚBLICO. Reconhecimento da nulidade das audiências públicas realizadas pelo Ibama no licenciamento ambiental de Belo Monte nos dias 10, 12, 13 e 15 de setembro de 2009. Designação de audiências públicas para oitiva das comunidades arroladas, garantidas às comunidades o prévio conhecimento dos estudos ambientais. Assegurar pleno exercício das prerrogativas institucionais dos membros do MP e MPF.</t>
  </si>
  <si>
    <t>Ibama / Eletrobrás / Eletronorte</t>
  </si>
  <si>
    <t>Liminar deferida em parte em 10/11/2009.
(Localização atual: TRF1)</t>
  </si>
  <si>
    <t>559-29.2013.811.0095</t>
  </si>
  <si>
    <t>Descumprimento de condicionantes apesar da liberação de dinheiro do BNDES com esse fim. Não implantação de obras prioritárias.</t>
  </si>
  <si>
    <t>CHTP</t>
  </si>
  <si>
    <t>Suspensa por decisão monocrática em 12/11/2009. SLAT nº 2009.01.00.069492-2/PA</t>
  </si>
  <si>
    <t>Comarca de Paranaíta</t>
  </si>
  <si>
    <t>Liminar Deferida em 3/10/2013</t>
  </si>
  <si>
    <t>Sentença considerando improcedente da juíza Carolina Valente do Carmo, em 18/02/2016</t>
  </si>
  <si>
    <t>17060-31.2013.4.01.3600</t>
  </si>
  <si>
    <t>25999-75.2010.4.01.3900</t>
  </si>
  <si>
    <t>Suspensão do licenciamento por ausência de estudos de impacto sobre Unidades de Conservação afetadas</t>
  </si>
  <si>
    <t>Ibama / CHTP / EPE</t>
  </si>
  <si>
    <t>NÃO CONSIDERAÇÃO DAS AUDIÊNCIAS PÚBLICAS NA ANÁLISE DO EIA-RIMA. CARÊNCIA DO DIAGNÓSTICO DO EIA-RIMA. POSTERGAÇÃO ILEGAL DO PROGNÓSTICO DE QUALIDADE DA ÁGUA. DESCUMPRIMENTO DA RESOLUÇÃO CONAMA Nº 01/1986. INCONSISTÊNCIA ENTRE VAZÃO REAL E POTÊNCIA INSTALADA. NECESSIDADE DE NOVA DECLARAÇÃO DE DISPONIBILIDADE DO RECURSO HÍDRICO. Declarar nulidade da Licença Prévia nº 342/2010, nulidade do edital Aneel nº 006/2009, nulidade da Declaração de Reserva de Disponibilidade Hídrica da ANA resolução nº 740/2009. Declarar inviabilidade ambiental da UHE Belo Monte com o hidrograma proposto pelo órgão licenciador no Trecho de Vazão Reduzida.</t>
  </si>
  <si>
    <t>Clique aqui</t>
  </si>
  <si>
    <t xml:space="preserve">Aneel / Eletrobrás / Ibama / ANA / União </t>
  </si>
  <si>
    <t>8ª Vara Cuiabá</t>
  </si>
  <si>
    <t>Liminar deferida em 19/04/2010.</t>
  </si>
  <si>
    <t>Liminar indeferida em 6/10/2014 pelo juiz Marcelo Meireles Lobão</t>
  </si>
  <si>
    <t>Suspensa por decisão monocrática em 20/04/2010.
SLAT nº 0022487-47.2010.4.01.0000/PA</t>
  </si>
  <si>
    <t>Perícia determinada pela Justiça Federal</t>
  </si>
  <si>
    <t>6910-50.2011.4.01.3603</t>
  </si>
  <si>
    <t>Apelação do MPF parcialmente provida em 26/03/2014 dando prazo para correção dos problemas do diagnóstico ambiental. Licença Prévia anulada até cumprimento.</t>
  </si>
  <si>
    <t>São Manoel</t>
  </si>
  <si>
    <t>Suspensão de audiências públicas. EIA/RIMA sem tradução para línguas indígenas.</t>
  </si>
  <si>
    <t>União apresentou recurso extraordinário ao STJ. Ainda sem trâmite</t>
  </si>
  <si>
    <t>Ibama / EPE</t>
  </si>
  <si>
    <t>25997-08.2010.4.01.3900</t>
  </si>
  <si>
    <t>FALTA DE REGULAMENTAÇÃO DO ARTIGO 176 DA CF. Ação civil pública para suspender a licença prévia e o leilão até que seja regulamentado o aproveitamento de recursos hídricos em Terras Indígenas, conforme artigo 176 da Constituição</t>
  </si>
  <si>
    <t>Aneel / Ibama / Funai, a União e Eletrobrás</t>
  </si>
  <si>
    <t>Liminar deferida em parte em 28/10/2011 suspendendo as audiências públicas.</t>
  </si>
  <si>
    <t>Liminar deferida em 14/04/2010</t>
  </si>
  <si>
    <t xml:space="preserve">Suspensão de segurança concedida pelo presidente do TRF1 em 08/11/2011. SLAT nº 0045964-65.2011.4.01.0000 </t>
  </si>
  <si>
    <t>Suspensão</t>
  </si>
  <si>
    <t>Suspensa por decisão monocrática em 16/04/2010.
SLAT nº 21954-88.2010.4.01.0000/PA</t>
  </si>
  <si>
    <t>Recurso Extraordinário Interposto teve seguimento negado</t>
  </si>
  <si>
    <t>Sentença exame do mérito pedido procedente em parte em 02/12/2013, com eficácia suspensa pela Suspensão de Segurança anterior.</t>
  </si>
  <si>
    <t>Julgado improcedente pelo juiz Arthur Pinheiro Chaves em sentença publicada em 24/01/13</t>
  </si>
  <si>
    <t>Apelação Cível no TRF1. Relator Des João Batista Moreira</t>
  </si>
  <si>
    <t>Apelação Cível, relator Kassio Marques, 6a Turma</t>
  </si>
  <si>
    <t>013839-40.2013.4.01.3600</t>
  </si>
  <si>
    <t>EIA/RIMA irregular. Componente indígena insuficiente</t>
  </si>
  <si>
    <t>968-19.2011.4.01.3900</t>
  </si>
  <si>
    <t>EMISSÃO DE LICENÇA DE INSTALAÇÃO PARCIAL SEM O CUMPRIMENTO DE CONDICIONANTES DA LICENÇA PRÉVIA. LICENÇA CONCEDIDA PELO PRESIDENTE DO IBAMA CONTRA PARECER TÉCNICO DO PRÓPRIO ÓRGÃO E CONTRA RECOMENDAÇÕES DO MPF. AÇÕES ANTECIPATÓRIAS POSTERGADAS. Declarar nulidade da LI 770/2011 e da ASV 501/2011, impor obrigação de fazer à Norte Energia para cumprimento das condicionantes previstas na LP 342/2010, impor obrigação de não fazer ao Ibama para não emitir nova LI antes do cumprimento das condicionantes, impor obrigação de não-fazer ao BNDES para que não repasse qualquer recurso enquanto as 40 condicionantes da LP não forem cumpridas pelo empreendedor</t>
  </si>
  <si>
    <t>Nesa / Ibama / BNDES</t>
  </si>
  <si>
    <t>Liminar suspendendo as audiências públicas até confecção do Componente Indígena deferida em 26/09/2013</t>
  </si>
  <si>
    <t>Liminar deferida em 25/02/2011. Suspensa por decisão monocrática do presidente do TRF1 em 03/03/2011. SLAT nº 12208-65.2011.4.01.0000/PA</t>
  </si>
  <si>
    <t>Suspensão de segurança deferida pelo vice-presidente do TRF1, Daniel Paes Ribeiro, em 26/09/2013. SLAT nº 0058115-92.2013.4.01.0000</t>
  </si>
  <si>
    <t>Sentença do juiz Arthur Pinheiro Chaves, 9ª Vara de Belém, em 28/08/2012 sem exame do mérito, perda de interesse processual</t>
  </si>
  <si>
    <t>Sentença considerando parcialmente procedente, do juiz Ciro José de Andrade Arapiraca em 26/5/2015, prejudicada pela suspensão de segurança anterior</t>
  </si>
  <si>
    <t>Apelação do MPF provida por unanimidade pela 5ª Turma do TRF1 seguindo voto do relator desembargador Souza Prudente, ordenando paralisação da obra em 16/12/2013</t>
  </si>
  <si>
    <t>Apelação Cível dos réus. Relatora Desa Daniele Maranhão Costa</t>
  </si>
  <si>
    <t>Presidência do TRF1 decide que suspensão de liminar se sobrepõe à decisão de mérito e deve vigorar até trânsito em julgado do processo, liberando a obra, em 19/12/2013</t>
  </si>
  <si>
    <t>18026-35.2011.4.01.3900</t>
  </si>
  <si>
    <t>17765-29.2013.4.01.3600</t>
  </si>
  <si>
    <t>EMISSÃO DE LICENÇA DE INSTALAÇÃO DEFINITIVA SEM O CUMPRIMENTO DE CONDICIONANTES DA LICENÇA PRÉVIA. LICENÇA CONCEDIDA PELO PRESIDENTE DO IBAMA CONTRA PARECER TÉCNICO DO PRÓPRIO ÓRGÃO. INFORMAÇÕES FALSAS PRESTADAS PELO EMPREENDEDOR SOBRE AS CONDICIONANTES. RECOMENDAÇÕES DO MPF IGNORADAS. FALTA DE RIGOR DO ÓRGÃO LICENCIADOR COM O EMPREENDEDOR. Declarar a nulidade da LI 795/2011, impor obrigação de não fazer à NESA para cumprir as 40 condicionantes da LP e impor obrigação de não-fazer ao Ibama para que se abstenha de emitir nova LI para a UHE Belo Monte</t>
  </si>
  <si>
    <t>Cautelar. EIA/RIMA irregular. Componente indígena insuficiente</t>
  </si>
  <si>
    <t>Nesa/Ibama</t>
  </si>
  <si>
    <t>Liminar suspendendo leilão deferida em 09/12/2013.</t>
  </si>
  <si>
    <t>Liminar indeferida pelo juiz da 9ª Vara em 17/11/2011</t>
  </si>
  <si>
    <t>Suspensão de segurança deferida pelo vice-presidente do TRF1, Daniel Paes Ribeiro em 12/12/2013
SLAT nº 0075520-44.2013.4.01.0000</t>
  </si>
  <si>
    <t>Sentença considerando improcedente do juiz Arthur Pinheiro Chaves, em 20/06/2014</t>
  </si>
  <si>
    <t>Processo extinto por perda de objeto.</t>
  </si>
  <si>
    <t>0028944-98.2011.4.01.3900</t>
  </si>
  <si>
    <t>IMPACTOS IRREVERSÍVEIS SOBRE O ECOSSISTEMA DA VOLTA GRANDE DO XINGU (VGX). A MORTE IMINENTE DO ECOSSISTEMA. RISCO DE REMOÇÃO DOS ÍNDIOS ARARA E JURUNA E DEMAIS MORADORES DA VGX. VEDAÇÃO CONSTITUCIONAL DE REMOÇÃO. VIOLAÇÃO DO DIREITO DAS FUTURAS GERAÇÕES. O DIREITO DA NATUREZA. A VOLTA GRANDE DO XINGU COMO SUJEITO DE DIREITO. Impor à Norte Energia a obrigação de não-fazer, impedindo-a de prosseguir com o Aproveitamento Hidrelétrico Belo Monte. Determinar a obrigação do empreendedor de indenizar os povos Arara, Juruna e ribeirinhos da VGX pelos impactos e perda da biodiversidade</t>
  </si>
  <si>
    <t>017643-16.2013.4.01.3600</t>
  </si>
  <si>
    <t>Nesa</t>
  </si>
  <si>
    <t>Impactos irreversíveis sobre indígenas em isolamento voluntário</t>
  </si>
  <si>
    <t>Liminar indeferida pelo juiz Arthur Pinheiro Chaves em
25/06/2013</t>
  </si>
  <si>
    <t>Liminar suspendendo licenciamento em 28/4/2014</t>
  </si>
  <si>
    <t>Sentença com exame do mérito pelo juiz Arthur Pinheiro Chaves, pedido improcedente em 08/07/2014</t>
  </si>
  <si>
    <t>MPF interpôs apelação cível. Relator Kassio Marques. Conclusa para decisão desde 4/2015</t>
  </si>
  <si>
    <t>0001618-57.2011.4.01.3903</t>
  </si>
  <si>
    <t>DESCUMPRIMENTO DE CONDICIONANTE DA LICENÇA DE INSTALAÇÃO DE BELO MONTE. INCERTEZAS PARA OS ATINGIDOS: NÃO APRESENTAÇÃO DO CADASTRO SOCIOECONÔMICO IDENTIFICANDO AS PESSOAS A SEREM REMOVIDAS. VIOLAÇÃO DO DIREITO DE INFORMAÇÃO. AUSÊNCIA DE PUBLICIDADE E TRANSPARÊNCIA. OBRIGAÇÃO DE APRESENTAR O CADASTRO SÓCIOECONÔMICO DOS ATINGIDOS POR BELO MONTE. VIOLAÇÃO DE DOMICÍLIOS DOS ATINGIDOS NAS ÁREAS RURAIS. DIREITO À REGULARIZAÇÃO FUNDIÁRIA. Imposição de prazo de até 60 dias para apresentação do cadastro socioeconômico, sob pena de suspensão das obras. Determinar à Norte Energia que se abstenha de ingressar no domicílio dos moradores. Determinar à União que proceda a regularização fundiária da região da Volta Grande do Xingu</t>
  </si>
  <si>
    <t>Suspensão de segurança deferida pelo presidente do TRF1, Cândido Ribeiro, em 26/5/2014. Suspensão SLAT nº 0028467-33.2014.4.01.0000/MT</t>
  </si>
  <si>
    <t>Nesa / União</t>
  </si>
  <si>
    <t>014123-48.2013.4.01.3600</t>
  </si>
  <si>
    <t>Liminar indeferida pelo juiz Arthur Pinheiro Chaves em 28/08/2012</t>
  </si>
  <si>
    <t>Ausência de consulta prévia, livre e informada aos povos indígenas afetados</t>
  </si>
  <si>
    <t>Liminar deferida em 13/9/2014</t>
  </si>
  <si>
    <t>Sentença do juiz Arthur Pinheiro Chaves considerando improcedente em 27/11/2013</t>
  </si>
  <si>
    <t>MPF interpôs apelação cível no TRF1, relator Jirair Megueriam. OBS: Sem movimentação desde 2014</t>
  </si>
  <si>
    <t>0020224-11.2012.4.01.3900</t>
  </si>
  <si>
    <t>40% DAS CONDICIONANTES NÃO CUMPRIDAS SEGUNDO RELATÓRIO DO ÓRGÃO LICENCIADOR. AUTO DE INFRAÇÃO POR INFORMAÇÃO FALSA DO EMPREENDEDOR AO LICENCIADOR. DESCUMPRIMENTO DAS CONDICIONANTES INDÍGENAS. DESCUMPRIMENTO DA CONDICIONANTE DO SANEAMENTO. Cautelar para decretar a suspensão da eficácia da Licença de Instalação 795/2011</t>
  </si>
  <si>
    <t>Nesa / Ibama</t>
  </si>
  <si>
    <t>Suspensão de segurança deferida pelo presidente do TRF1 desembargador Cândido Ribeiro em 3/10/2014</t>
  </si>
  <si>
    <t>Extinta sem exame do mérito pelo juiz Arthur Pinheiro Chaves em 11/10/2012</t>
  </si>
  <si>
    <t>16007-78.2014.4.01.3600</t>
  </si>
  <si>
    <t>Suspensão das licenças prévia e de instalação. Ausência de consulta ao ICMBio e ao Iphan. Risco ao mosaico de Unidades de Conservação e ao patrimônio arqueológico.</t>
  </si>
  <si>
    <t>Trânsito em julgado em 19/02/13</t>
  </si>
  <si>
    <t>0002708-66.2012.4.01.3903</t>
  </si>
  <si>
    <t>ERRO NA MEDIÇÃO DA COTA 100, ABAIXO DA QUAL HAVERÁ ALAGAMENTO NA ÁREA URBANA DE ALTAMIRA. AUSÊNCIA DE CADASTRO DOS ATINGIDOS PELO ALAGAMENTO NA CIDADE. INSEGURANÇA PARA OS ATINGIDOS. Impor à Norte Energia obrigação de fazer no sentido de cadastrar todos os moradores e trabalhadores do perímetro urbano de Altamira localizados na ou abaixo da Cota 100 em conformidade com o estudo da UFPA/MPF. Identificar e avaliar todos os imóveis</t>
  </si>
  <si>
    <t>Liminar deferida em 3/6/2015 pelo juiz Ciro José Arapiraca.</t>
  </si>
  <si>
    <t>Liminar deferida pelo juiz Sérgio Wolney da Vara Federal de Altamira em 18/12/12</t>
  </si>
  <si>
    <t xml:space="preserve">Sentença improcedente, da juíza Carolina Valente do Carmo, em 03/06/2016
</t>
  </si>
  <si>
    <t>Suspensão de liminar deferida pelo presidente do TRF1, Des Cândido Ribeiro, em 26/06/2015</t>
  </si>
  <si>
    <t>0001755-39.2011.4.01.3903</t>
  </si>
  <si>
    <t>AUSÊNCIA DA DEFENSORIA PÚBLICA DA UNIÃO EM ALTAMIRA. Impor à União obrigação de fazer no sentido de assegurar a atuação da DPU para defesa da população atingida por Belo Monte nas lides processuais com a concessionária da obra, Norte Energia S.A</t>
  </si>
  <si>
    <t>União</t>
  </si>
  <si>
    <t>Liminar indeferida em 16/02/2012</t>
  </si>
  <si>
    <t>031442-65.2014.4.01.3900</t>
  </si>
  <si>
    <t xml:space="preserve">São Manoel
</t>
  </si>
  <si>
    <t>Anulação da licença de instalação por descumprimento das condicionantes da licença prévia</t>
  </si>
  <si>
    <t>Sentença procedente, do juiz Paulo Moy Anaisse, em 27/07/2015</t>
  </si>
  <si>
    <t>9º Vara Belém</t>
  </si>
  <si>
    <t>Liminar deferida em 23/12/2014 pelo juiz de plantão na 9a Vara, Antonio Carlos Campelo</t>
  </si>
  <si>
    <t>0000328-36.2013.4.01.3903</t>
  </si>
  <si>
    <t>CONDIÇÕES ESTABELECIDAS PARA A VIABILIDADE DO EMPREENDIMENTO NÃO ATENDIDAS PELO EMPREENDEDOR. VIOLAÇÃO DA LICENÇA AMBIENTAL. CRONOGRAMA DAS OBRAS DE SANEAMENTO BÁSICO DESCUMPRIDO. DESCOMPASSO ENTRE OBRAS DA USINA E OBRAS DE MITIGAÇÃO E COMPENSAÇÃO EXIGIDAS PELO ÓRGÃO LICENCIADOR. FALTA DE RIGOR DO ÓRGÃO LICENCIADOR COM O EMPREENDEDOR. Obrigar o empreendedor a apresentar cronograma detalhado da execução das obras de saneamento básico que estão atrasadas. Obrigar o empreendedor a executar imediatamente obras de saneamento básico urgentes em Altamira, Vitória do Xingu e Anapu. Suspender a LI 795/2011 até o cumprimento da condicionante do saneamento. Impor a Nesa a obrigação de fazer para realizar todas as obras e reformas de saneamento básico previstas nos municípios atingidos por Belo Monte</t>
  </si>
  <si>
    <t>Suspensão de segurança indeferida pela vice-presidente do TRF1, Neuza Alves, em 06/01/2015. Depois deferida, em sede de agravo regimental, pelo presidente Cândido Ribeiro, em 15/01/2015.</t>
  </si>
  <si>
    <t>Liminar deferida pelo juiz Frederico Botelho de Barros Viana em 12/3/2014</t>
  </si>
  <si>
    <t>Sentença extinguindo sem exame do mérito com base nas alegações do Ibama de que as condicionantes foram cumpridas posteriormente. Do juiz Arthur Pinheiro Chaves, em 2/6/2017</t>
  </si>
  <si>
    <t>Juiz Arthur Pinheiro Chaves sentencia em 08/06/2016, parcialmente favorável, condenando à Nesa a fazer as obras de saneamento e pagar indenização de R$ 15 milhões e R$ 3 milhões em multa por descumprimento de liminarmente</t>
  </si>
  <si>
    <t>Trânsito em Julgado em 23/3/2018</t>
  </si>
  <si>
    <t>655-78.2013.4.01.3903</t>
  </si>
  <si>
    <t>CONDIÇÕES ESTABELECIDAS PARA A VIABILIDADE DO EMPREENDIMENTO NÃO ATENDIDAS PELO EMPREENDEDOR. VIOLAÇÃO DA LICENÇA AMBIENTAL. RECUSA DO EMPREENDEDOR EM CUMPRIR CONDICIONANTE DE PROTEÇÃO TERRITORIAL DAS TERRAS INDÍGENAS AFETADAS. INDÍGENAS LANÇADOS À ZONA LIMÍTROFE DE UM ETNOCÍDIO. Declarar a inviabilidade do empreendimento para os povos indígenas afetados. Suspensão compulsória da anuência da Funai e da LI de Belo Monte até a implementação das ações</t>
  </si>
  <si>
    <t>Nesa / Funai / Ibama</t>
  </si>
  <si>
    <t>034214-98.2014.4.01.3900</t>
  </si>
  <si>
    <t>Anulação da Licença de Instalação por descumprimento das condicionantes indígenas de Licença Prévia</t>
  </si>
  <si>
    <t>Liminar concedida parcialmente pelo juiz Frederico de Barros Viana em 31/3/2014</t>
  </si>
  <si>
    <t>FUNAI / IBAMA / São Manoel</t>
  </si>
  <si>
    <t>9a Vara Belém</t>
  </si>
  <si>
    <t xml:space="preserve">Sentença parcialmente procedente do juiz Arthur Pinheiro Chaves em 20/5/2017 </t>
  </si>
  <si>
    <t>Declínio de competência em 23/03/2015 para a 1ª Vara da Seção Judiciária do Mato Grosso, por conexão com as ações civis públicas 13839-40.2013.4.01.3600, 14123-48.2013.4.01.3600, 17643-16.2013.4.01.3600 e 17765-29.2013.4.01.3600</t>
  </si>
  <si>
    <t>1655-16.2013.4.01.3903</t>
  </si>
  <si>
    <t>CONDIÇÕES ESTABELECIDAS PARA A VIABILIDADE DO EMPREENDIMENTO NÃO ATENDIDAS PELO EMPREENDEDOR. VIOLAÇÃO DA LICENÇA AMBIENTAL. RECUSA DO EMPREENDEDOR EM CUMPRIR CONDICIONANTE DE AQUISIÇÃO DE TERRAS PARA ÍNDIOS JURUNA DA ALDEIA BOA VISTA. DANOS GRAVES, DESAGREGAÇÃO E RISCO À SOBREVIVÊNCIA DA COMUNIDADE. Impor ao empreendedor obrigação de fazer para que cumpra a condicionante relativa à compra de terras para os índios Juruna do Km 17. Reconhecimento dos danos morais e materiais à comunidade, com estabelecimento de indenização</t>
  </si>
  <si>
    <t>Liminar deferida pelo juiz Sérgio Wolney Guedes em 6/9/2013</t>
  </si>
  <si>
    <t>Conflito de competência no TRF1. Relator Des Jirair Meguerian</t>
  </si>
  <si>
    <t>25799-63.2013.4.01.3900</t>
  </si>
  <si>
    <t>IMPACTO SOBRE ÍNDIOS XIKRIN MORADORES DO RIO BACAJÁ. INSUFICIÊNCIA DA ANÁLISE DE IMPACTOS NO EIA-RIMA. ESTUDOS COMPLEMENTARES ATRASADOS E INSUFICIENTES. NÃO PREVISÃO DE IMPACTOS E COMPENSAÇÕES PARA POPULAÇÃO INDÍGENA NA ÁREA DE INFLUÊNCIA DIRETA DO EMPREENDIMENTO BELO MONTE. Determinar ao empreendedor a obrigação de fazer os estudos complementares identificando impactos e apontando mitigações, prevenções e compensações. Declarar a nulidade da LP 342/2010 e da LI 795/2011 por inviabilidade ambiental. Alternativamente, proibir a formação do Trecho de Vazão Reduzida enquanto não apresentados os estudos complementares. Condenar Norte Energia e BNDES a pagar indenização por danos pela omissão nos estudos e a indenizar a comunidade Xikrin por danos morais</t>
  </si>
  <si>
    <t>Nesa/ Ibama / BNDES</t>
  </si>
  <si>
    <t>Sentença com exame do mérito pedido improcedente no dia 23/1/2015, do juiz Arthur Pinheiro Chaves</t>
  </si>
  <si>
    <t>5536-57.2015.4.01.3603</t>
  </si>
  <si>
    <t>Paralisação do funcionamento da usina até funcionamento do sistema anticardume para evitar mortandade de peixes</t>
  </si>
  <si>
    <t>CHTP / IBAMA</t>
  </si>
  <si>
    <t>Apelação interposta tramitando na 6a Turma do TRF1.
Relator: Kassio Marques</t>
  </si>
  <si>
    <t>2ª Vara Federal Sinop</t>
  </si>
  <si>
    <t>2464-06.2013.4.01.3903</t>
  </si>
  <si>
    <t>Liminar deferida em parte em 13/11/2015 pelo juiz Marcel Queiroz Linhares</t>
  </si>
  <si>
    <t>REASSENTAMENTO DE ATINGIDOS POR BELO MONTE NA ÁREA URBANA DE ALTAMIRA. IRREGULARIDADES NAS OBRAS. AUSÊNCIA DE TRANSPARÊNCIA E DEBATE COM OS ATINGIDOS. MODIFICAÇÃO NOS PROJETOS ANUNCIADOS, REDUZINDO AS OPÇÕES DAS FAMÍLIAS ATINGIDAS. DESCONFORMIDADE DAS CONSTRUÇÕES COM O CÓDIGO DE OBRAS DE ALTAMIRA. Determinar que a Norte Energia S.A promova a adequação dos projetos de casas. Suspender a construção de casas enquanto o projeto não obedecer aos parâmetros definidos no Estudo de Impacto Ambiental e Plano Básico Ambiental. Suspender compulsoriamente a Licença de Instalação da UHE Belo Monte, até que sejam implementadas as ações acima referidas. Condenar a Norte Energia S.A ao pagamento de indenização pelos danos morais sofridos pelas comunidades</t>
  </si>
  <si>
    <t>Liminar indeferida pelo juiz Sérgio Wolney Guedes em 28/10/2013 com base na mudança no Código de Obras do Município de Altamira a pedido da Norte Energia. Juiz pediu aditamento do pedido pelo MPF para determinar adequações relativas às outras irregularidades encontradas</t>
  </si>
  <si>
    <t>Suspensão de Segurança concedida em parte pelo presidente do TRF1 Cândido Ribeiro em 18/12/2015</t>
  </si>
  <si>
    <t xml:space="preserve">Processo suspenso para conciliação. </t>
  </si>
  <si>
    <t>2694-14.2014.4.01.3903</t>
  </si>
  <si>
    <t>001258-05.2014.4.01.3908</t>
  </si>
  <si>
    <t>DESCUMPRIMENTO DE CONDICIONANTES INDÍGENAS. REESTRUTURAÇÃO DA FUNAI DE ALTAMIRA. CAOS NO ATENDIMENTO À SOBREDEMANDA GERADA POR BELO MONTE. Determinar que a União, a Funai e a Norte Energia sejam obrigadas a apresentar, em 30 dias, plano para executar 8 medidas fundamentais, a serem implementadas em no máximo 60 dias, sob pena de suspensão compulsória das licenças ambientais. Vedação de concessão de Licença de Operação enquanto condicionantes indígenas não forem cumpridas</t>
  </si>
  <si>
    <t>Publicação do RCID para prosseguimento da demarcação da TI Sawré-Muybu, dos índios Munduruku, que vai ser alagada pela usina</t>
  </si>
  <si>
    <t>União / Funai / Nesa</t>
  </si>
  <si>
    <t>Funai</t>
  </si>
  <si>
    <t>Liminar deferida em parte pelo juiz Rafael Leite Paulo em 15/10/2014</t>
  </si>
  <si>
    <t>Liminar deferida em parte em 27/2/2015 pelo juiz Cláudio Henrique de Fonseca Pina</t>
  </si>
  <si>
    <t>Sentença considerando procedente do juiz Ilan Presser, em 30/04/2015</t>
  </si>
  <si>
    <t>Liminar revisada em 27/1/2016 pela juiza Maria Carolina do Carmo, para suspender a LO e aplicar multa.</t>
  </si>
  <si>
    <t>Suspensão de segurança em 28/01/2016</t>
  </si>
  <si>
    <t>3017-82.2015.4.01.3903</t>
  </si>
  <si>
    <t>Suspensão de segurança concedida à Funai em 24/8/2015 pelo presidente do TRF1, Cândido Ribeiro.</t>
  </si>
  <si>
    <t>AÇÃO ETNOCIDA DO ESTADO E DA NORTE ENERGIA SA. Reconhecimento de que a implantação de Belo Monte constitui uma ação etnocida do Estado brasileiro e da concessionária Norte Energia, “evidenciada pela destruição da organização social, costumes, línguas e tradições dos grupos indígenas impactados”</t>
  </si>
  <si>
    <t>Ibama / Funai / Nesa / União</t>
  </si>
  <si>
    <t>Aguardando decisão liminar</t>
  </si>
  <si>
    <t>269-43.2016.4.01.3903</t>
  </si>
  <si>
    <t>DESCUMPRIMENTO DA CONDICIONANTE DO SANEAMENTO BÁSICO. Paralisação do barramento por risco de colapso sanitário. Necessidade de implantação de 100% do saneamento e fornecimento de água potável conforme exigência das licenças ambientais.</t>
  </si>
  <si>
    <t>Ibama / Nesa / ANA / Cosanpa / União</t>
  </si>
  <si>
    <t>Liminar deferida em 25/08/2016. Com suspensão da Licença de Operação</t>
  </si>
  <si>
    <t>ADIN 4717</t>
  </si>
  <si>
    <t xml:space="preserve">Medida Provisória nº 558/2012 que alterou limites do Parque Nacional da Amazônia, Parque Nacional Mapinguari, Floresta Nacional de Itaituba I, Floresta Nacional de Itaituba II, Floresta Nacional do Crepori e Área de Proteção Ambiental do Tapajós. </t>
  </si>
  <si>
    <t>Presidente da República</t>
  </si>
  <si>
    <t>STF - Relatora Ministra Carmen Lúcia</t>
  </si>
  <si>
    <t>Julgamento em 5/4/2018. Por unanimidade, pleno do STF decretou a inconstitucionalidade da MP 558/2012</t>
  </si>
  <si>
    <t>017726-61.2015.4.01.3600</t>
  </si>
  <si>
    <t>Suspensão de segurança em 13/9/2016</t>
  </si>
  <si>
    <t>Obrigação de fazer, condenação da CHTP Teles Pires para implementar medidas concretas para garantia da qualidade da água em toda extensão do reservatório e áreas afetadas pela usina Teles Pires</t>
  </si>
  <si>
    <t>CHTP / Ibama</t>
  </si>
  <si>
    <t>8ª Vara Federal Cuiabá</t>
  </si>
  <si>
    <t>Juiz Raphael de Almeida Carvalho declinou da competência para a 2ª Vara da Subseção Judiciária de Sinop/MT em 16/4/2016</t>
  </si>
  <si>
    <t>Suspensão derrubada na Corte Especial do TRF1 em 06/4/2017</t>
  </si>
  <si>
    <t>466-95.2016.401.3903</t>
  </si>
  <si>
    <t>DESVIO NA DESTINAÇÃO DOS RECURSOS DA COMPENSAÇÃO AMBIENTAL. Suspensão da decisão do Comitê de Compensação Ambiental Federal que destinou 72% dos recursos da compensação ao Parque Nacional do Juruena, no Mato Grosso, 814 km distante do local dos impactos da usina</t>
  </si>
  <si>
    <t>Ibama / ICMBio / Nesa</t>
  </si>
  <si>
    <t>Liminar deferida no dia 6/4/2016</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</si>
</sst>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0"/>
      <color rgb="FF000000"/>
      <name val="Arial"/>
    </font>
    <font>
      <b/>
      <sz val="16"/>
      <color rgb="FFFFFFFF"/>
      <name val="Calibri"/>
    </font>
    <font>
      <b/>
      <sz val="16"/>
      <name val="Calibri"/>
    </font>
    <font>
      <sz val="14"/>
      <name val="Calibri"/>
    </font>
    <font>
      <u/>
      <sz val="14"/>
      <color rgb="FF0000FF"/>
      <name val="Calibri"/>
    </font>
    <font>
      <u/>
      <sz val="14"/>
      <color rgb="FF0000FF"/>
      <name val="Calibri"/>
    </font>
    <font>
      <u/>
      <sz val="14"/>
      <color rgb="FF0000FF"/>
      <name val="Calibri"/>
    </font>
    <font>
      <sz val="10"/>
      <name val="Arial"/>
    </font>
    <font>
      <u/>
      <sz val="14"/>
      <color rgb="FF0000FF"/>
      <name val="Calibri"/>
    </font>
    <font>
      <sz val="14"/>
      <color rgb="FF000000"/>
      <name val="'Calibri'"/>
    </font>
    <font>
      <u/>
      <sz val="11"/>
      <color rgb="FF0000FF"/>
      <name val="Arial"/>
    </font>
    <font>
      <sz val="14"/>
      <color rgb="FF000000"/>
      <name val="Calibri"/>
    </font>
    <font>
      <u/>
      <sz val="14"/>
      <color rgb="FF0000FF"/>
      <name val="Calibri"/>
    </font>
    <font>
      <u/>
      <sz val="14"/>
      <color rgb="FF000000"/>
      <name val="Calibri"/>
    </font>
    <font>
      <u/>
      <sz val="14"/>
      <color rgb="FF0000FF"/>
      <name val="Calibri"/>
    </font>
    <font>
      <u/>
      <sz val="14"/>
      <color rgb="FF0000FF"/>
      <name val="Calibri"/>
    </font>
    <font>
      <u/>
      <sz val="14"/>
      <color rgb="FF0000FF"/>
      <name val="Calibri"/>
    </font>
    <font>
      <u/>
      <sz val="14"/>
      <color rgb="FF0000FF"/>
      <name val="Calibri"/>
    </font>
    <font>
      <u/>
      <sz val="14"/>
      <color rgb="FF0000FF"/>
      <name val="Calibri"/>
    </font>
    <font>
      <sz val="14"/>
      <color rgb="FFFF0000"/>
      <name val="Calibri"/>
    </font>
    <font>
      <u/>
      <sz val="14"/>
      <color rgb="FF0000FF"/>
      <name val="Calibri"/>
    </font>
    <font>
      <u/>
      <sz val="14"/>
      <color rgb="FF0000FF"/>
      <name val="Calibri"/>
    </font>
    <font>
      <u/>
      <sz val="14"/>
      <color rgb="FF000000"/>
      <name val="Calibri"/>
    </font>
    <font>
      <u/>
      <sz val="14"/>
      <color rgb="FF0000FF"/>
      <name val="Calibri"/>
    </font>
    <font>
      <u/>
      <sz val="14"/>
      <color rgb="FF0000FF"/>
      <name val="Calibri"/>
    </font>
    <font>
      <u/>
      <sz val="14"/>
      <color rgb="FF0000FF"/>
      <name val="Calibri"/>
    </font>
    <font>
      <u/>
      <sz val="14"/>
      <color rgb="FF0000FF"/>
      <name val="Calibri"/>
    </font>
    <font>
      <u/>
      <sz val="14"/>
      <color rgb="FF0000FF"/>
      <name val="Calibri"/>
    </font>
    <font>
      <u/>
      <sz val="14"/>
      <color rgb="FF0000FF"/>
      <name val="Calibri"/>
    </font>
    <font>
      <u/>
      <sz val="14"/>
      <color rgb="FF0000FF"/>
      <name val="Calibri"/>
    </font>
    <font>
      <u/>
      <sz val="14"/>
      <color rgb="FF4A86E8"/>
      <name val="Calibri"/>
    </font>
    <font>
      <u/>
      <sz val="11"/>
      <color rgb="FF0000FF"/>
      <name val="Arial"/>
    </font>
    <font>
      <u/>
      <sz val="14"/>
      <color rgb="FF4A86E8"/>
      <name val="Calibri"/>
    </font>
    <font>
      <sz val="10"/>
      <name val="Calibri"/>
    </font>
  </fonts>
  <fills count="6">
    <fill>
      <patternFill patternType="none"/>
    </fill>
    <fill>
      <patternFill patternType="gray125"/>
    </fill>
    <fill>
      <patternFill patternType="solid">
        <fgColor rgb="FF20124D"/>
        <bgColor rgb="FF20124D"/>
      </patternFill>
    </fill>
    <fill>
      <patternFill patternType="solid">
        <fgColor rgb="FFD9D9D9"/>
        <bgColor rgb="FFD9D9D9"/>
      </patternFill>
    </fill>
    <fill>
      <patternFill patternType="solid">
        <fgColor rgb="FFFFFFFF"/>
        <bgColor rgb="FFFFFFFF"/>
      </patternFill>
    </fill>
    <fill>
      <patternFill patternType="solid">
        <fgColor rgb="FFFFFF00"/>
        <bgColor rgb="FFFFFF00"/>
      </patternFill>
    </fill>
  </fills>
  <borders count="15">
    <border>
      <left/>
      <right/>
      <top/>
      <bottom/>
      <diagonal/>
    </border>
    <border>
      <left style="thin">
        <color rgb="FF000000"/>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thin">
        <color rgb="FF000000"/>
      </bottom>
      <diagonal/>
    </border>
  </borders>
  <cellStyleXfs count="1">
    <xf numFmtId="0" fontId="0" fillId="0" borderId="0"/>
  </cellStyleXfs>
  <cellXfs count="114">
    <xf numFmtId="0" fontId="0" fillId="0" borderId="0" xfId="0" applyFont="1" applyAlignment="1"/>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2" fillId="0" borderId="0" xfId="0" applyFont="1" applyAlignment="1">
      <alignment horizontal="left" vertical="top" wrapText="1"/>
    </xf>
    <xf numFmtId="0" fontId="3" fillId="0" borderId="9" xfId="0" applyFont="1" applyBorder="1" applyAlignment="1">
      <alignment horizontal="left" vertical="top" wrapText="1"/>
    </xf>
    <xf numFmtId="0" fontId="3" fillId="0" borderId="9" xfId="0" applyFont="1" applyBorder="1" applyAlignment="1">
      <alignment horizontal="left" vertical="top" wrapText="1"/>
    </xf>
    <xf numFmtId="0" fontId="3" fillId="0" borderId="9" xfId="0" applyFont="1" applyBorder="1" applyAlignment="1">
      <alignment horizontal="left" vertical="top" wrapText="1"/>
    </xf>
    <xf numFmtId="0" fontId="6"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8" fillId="0" borderId="10" xfId="0" applyFont="1" applyBorder="1" applyAlignment="1">
      <alignment horizontal="left" vertical="top" wrapText="1"/>
    </xf>
    <xf numFmtId="0" fontId="9" fillId="0" borderId="0" xfId="0" applyFont="1" applyAlignment="1"/>
    <xf numFmtId="0" fontId="10" fillId="0" borderId="0" xfId="0" applyFont="1"/>
    <xf numFmtId="0" fontId="3" fillId="0" borderId="14" xfId="0" applyFont="1" applyBorder="1" applyAlignment="1">
      <alignment horizontal="left" vertical="top" wrapText="1"/>
    </xf>
    <xf numFmtId="0" fontId="3" fillId="0" borderId="14" xfId="0" applyFont="1" applyBorder="1" applyAlignment="1">
      <alignment horizontal="left" vertical="top" wrapText="1"/>
    </xf>
    <xf numFmtId="0" fontId="3" fillId="0" borderId="14" xfId="0" applyFont="1" applyBorder="1" applyAlignment="1">
      <alignment horizontal="left" vertical="top" wrapText="1"/>
    </xf>
    <xf numFmtId="0" fontId="3" fillId="3" borderId="8" xfId="0" applyFont="1" applyFill="1" applyBorder="1" applyAlignment="1">
      <alignment horizontal="left" vertical="top" wrapText="1"/>
    </xf>
    <xf numFmtId="0" fontId="12"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14" fillId="3" borderId="9" xfId="0" applyFont="1" applyFill="1" applyBorder="1" applyAlignment="1">
      <alignment horizontal="left" vertical="top" wrapText="1"/>
    </xf>
    <xf numFmtId="0" fontId="3" fillId="3" borderId="9" xfId="0" applyFont="1" applyFill="1" applyBorder="1" applyAlignment="1">
      <alignmen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vertical="top" wrapText="1"/>
    </xf>
    <xf numFmtId="0" fontId="15" fillId="3" borderId="10" xfId="0" applyFont="1" applyFill="1" applyBorder="1" applyAlignment="1">
      <alignment horizontal="left" vertical="top" wrapText="1"/>
    </xf>
    <xf numFmtId="0" fontId="3" fillId="3" borderId="13" xfId="0" applyFont="1" applyFill="1" applyBorder="1" applyAlignment="1">
      <alignment vertical="top" wrapText="1"/>
    </xf>
    <xf numFmtId="0" fontId="16" fillId="3" borderId="11" xfId="0" applyFont="1" applyFill="1" applyBorder="1" applyAlignment="1">
      <alignment horizontal="left" vertical="top" wrapText="1"/>
    </xf>
    <xf numFmtId="0" fontId="17" fillId="3" borderId="14" xfId="0" applyFont="1" applyFill="1" applyBorder="1" applyAlignment="1">
      <alignment horizontal="left" vertical="top" wrapText="1"/>
    </xf>
    <xf numFmtId="0" fontId="3" fillId="3" borderId="0" xfId="0" applyFont="1" applyFill="1" applyAlignment="1"/>
    <xf numFmtId="0" fontId="3" fillId="3" borderId="10" xfId="0" applyFont="1" applyFill="1" applyBorder="1" applyAlignment="1">
      <alignment horizontal="left" vertical="top" wrapText="1"/>
    </xf>
    <xf numFmtId="0" fontId="3" fillId="3" borderId="14" xfId="0" applyFont="1" applyFill="1" applyBorder="1" applyAlignment="1">
      <alignment horizontal="left" vertical="top" wrapText="1"/>
    </xf>
    <xf numFmtId="0" fontId="18" fillId="3" borderId="7" xfId="0" applyFont="1" applyFill="1" applyBorder="1" applyAlignment="1">
      <alignment horizontal="left" vertical="top" wrapText="1"/>
    </xf>
    <xf numFmtId="0" fontId="19" fillId="3" borderId="9" xfId="0" applyFont="1" applyFill="1" applyBorder="1" applyAlignment="1">
      <alignment horizontal="left" vertical="top" wrapText="1"/>
    </xf>
    <xf numFmtId="0" fontId="9" fillId="3" borderId="0" xfId="0" applyFont="1" applyFill="1" applyAlignment="1"/>
    <xf numFmtId="0" fontId="20" fillId="3" borderId="12" xfId="0" applyFont="1" applyFill="1" applyBorder="1" applyAlignment="1">
      <alignment horizontal="left" vertical="top" wrapText="1"/>
    </xf>
    <xf numFmtId="0" fontId="21" fillId="3" borderId="4" xfId="0" applyFont="1" applyFill="1" applyBorder="1" applyAlignment="1">
      <alignment horizontal="left" vertical="top" wrapText="1"/>
    </xf>
    <xf numFmtId="0" fontId="3" fillId="3" borderId="10" xfId="0" applyFont="1" applyFill="1" applyBorder="1" applyAlignment="1">
      <alignment horizontal="left" vertical="top" wrapText="1"/>
    </xf>
    <xf numFmtId="0" fontId="9" fillId="3" borderId="0" xfId="0" applyFont="1" applyFill="1" applyAlignment="1">
      <alignment wrapText="1"/>
    </xf>
    <xf numFmtId="0" fontId="3" fillId="3" borderId="14" xfId="0" applyFont="1" applyFill="1" applyBorder="1" applyAlignment="1">
      <alignment horizontal="left" vertical="top" wrapText="1"/>
    </xf>
    <xf numFmtId="0" fontId="3" fillId="0" borderId="10" xfId="0" applyFont="1" applyBorder="1" applyAlignment="1">
      <alignment horizontal="left" vertical="top" wrapText="1"/>
    </xf>
    <xf numFmtId="0" fontId="23" fillId="0" borderId="11"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24" fillId="0" borderId="14" xfId="0" applyFont="1" applyBorder="1" applyAlignment="1">
      <alignment horizontal="left" vertical="top" wrapText="1"/>
    </xf>
    <xf numFmtId="0" fontId="3" fillId="3" borderId="4" xfId="0" applyFont="1" applyFill="1" applyBorder="1" applyAlignment="1">
      <alignment horizontal="left" vertical="top" wrapText="1"/>
    </xf>
    <xf numFmtId="0" fontId="3" fillId="3" borderId="4" xfId="0" applyFont="1" applyFill="1" applyBorder="1" applyAlignment="1">
      <alignment horizontal="left" vertical="top"/>
    </xf>
    <xf numFmtId="0" fontId="3" fillId="0" borderId="4" xfId="0" applyFont="1" applyBorder="1" applyAlignment="1">
      <alignment horizontal="left" vertical="top" wrapText="1"/>
    </xf>
    <xf numFmtId="0" fontId="3" fillId="4" borderId="8" xfId="0" applyFont="1" applyFill="1" applyBorder="1" applyAlignment="1">
      <alignment horizontal="left" vertical="top" wrapText="1"/>
    </xf>
    <xf numFmtId="0" fontId="3" fillId="4" borderId="0" xfId="0" applyFont="1" applyFill="1" applyAlignment="1">
      <alignment horizontal="left" vertical="top" wrapText="1"/>
    </xf>
    <xf numFmtId="0" fontId="19"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0" borderId="0" xfId="0" applyFont="1" applyAlignment="1">
      <alignment horizontal="left" vertical="top" wrapText="1"/>
    </xf>
    <xf numFmtId="0" fontId="3" fillId="4" borderId="7"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0" borderId="9" xfId="0" applyFont="1" applyBorder="1" applyAlignment="1">
      <alignment horizontal="left" vertical="top" wrapText="1"/>
    </xf>
    <xf numFmtId="0" fontId="3" fillId="3" borderId="9" xfId="0" applyFont="1" applyFill="1" applyBorder="1" applyAlignment="1">
      <alignment horizontal="left" vertical="top" wrapText="1"/>
    </xf>
    <xf numFmtId="0" fontId="25" fillId="0" borderId="4" xfId="0" applyFont="1" applyBorder="1" applyAlignment="1">
      <alignment horizontal="left" vertical="top" wrapText="1"/>
    </xf>
    <xf numFmtId="0" fontId="26" fillId="4" borderId="8" xfId="0" applyFont="1" applyFill="1" applyBorder="1" applyAlignment="1">
      <alignment horizontal="left" vertical="top" wrapText="1"/>
    </xf>
    <xf numFmtId="0" fontId="3" fillId="4" borderId="4" xfId="0" applyFont="1" applyFill="1" applyBorder="1" applyAlignment="1">
      <alignment horizontal="left" vertical="top" wrapText="1"/>
    </xf>
    <xf numFmtId="0" fontId="27" fillId="0" borderId="14" xfId="0" applyFont="1" applyBorder="1" applyAlignment="1">
      <alignment horizontal="left" vertical="top" wrapText="1"/>
    </xf>
    <xf numFmtId="0" fontId="28" fillId="3" borderId="1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0" xfId="0" applyFont="1" applyFill="1" applyAlignment="1">
      <alignment horizontal="left" vertical="top" wrapText="1"/>
    </xf>
    <xf numFmtId="0" fontId="3" fillId="4" borderId="4" xfId="0" applyFont="1" applyFill="1" applyBorder="1" applyAlignment="1">
      <alignment horizontal="left" vertical="top" wrapText="1"/>
    </xf>
    <xf numFmtId="0" fontId="3" fillId="5" borderId="4" xfId="0" applyFont="1" applyFill="1" applyBorder="1" applyAlignment="1">
      <alignment horizontal="left" vertical="top" wrapText="1"/>
    </xf>
    <xf numFmtId="0" fontId="29" fillId="4" borderId="4" xfId="0" applyFont="1" applyFill="1" applyBorder="1" applyAlignment="1">
      <alignment horizontal="left" vertical="top" wrapText="1"/>
    </xf>
    <xf numFmtId="0" fontId="3" fillId="0" borderId="4" xfId="0" applyFont="1" applyBorder="1" applyAlignment="1">
      <alignment horizontal="left" vertical="top" wrapText="1"/>
    </xf>
    <xf numFmtId="0" fontId="3" fillId="3" borderId="8" xfId="0" applyFont="1" applyFill="1" applyBorder="1" applyAlignment="1">
      <alignment horizontal="left" vertical="top" wrapText="1"/>
    </xf>
    <xf numFmtId="0" fontId="3" fillId="0" borderId="10" xfId="0" applyFont="1" applyBorder="1" applyAlignment="1">
      <alignment horizontal="left" vertical="top" wrapText="1"/>
    </xf>
    <xf numFmtId="0" fontId="30" fillId="0" borderId="10" xfId="0" applyFont="1" applyBorder="1" applyAlignment="1">
      <alignment horizontal="left" vertical="top" wrapText="1"/>
    </xf>
    <xf numFmtId="0" fontId="31" fillId="0" borderId="0" xfId="0" applyFont="1"/>
    <xf numFmtId="0" fontId="32" fillId="0" borderId="14" xfId="0" applyFont="1" applyBorder="1" applyAlignment="1">
      <alignment horizontal="left" vertical="top" wrapText="1"/>
    </xf>
    <xf numFmtId="0" fontId="3" fillId="3" borderId="4" xfId="0" applyFont="1" applyFill="1" applyBorder="1" applyAlignment="1">
      <alignment horizontal="left" vertical="top" wrapText="1"/>
    </xf>
    <xf numFmtId="0" fontId="3" fillId="4" borderId="13" xfId="0" applyFont="1" applyFill="1" applyBorder="1" applyAlignment="1">
      <alignment horizontal="left" vertical="top" wrapText="1"/>
    </xf>
    <xf numFmtId="0" fontId="3" fillId="4" borderId="1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0" borderId="4" xfId="0" applyFont="1" applyBorder="1" applyAlignment="1">
      <alignment horizontal="left" vertical="top" wrapText="1"/>
    </xf>
    <xf numFmtId="0" fontId="19" fillId="5" borderId="4"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3" fillId="0" borderId="0" xfId="0" applyFont="1" applyAlignment="1"/>
    <xf numFmtId="0" fontId="3" fillId="3" borderId="8" xfId="0" applyFont="1" applyFill="1" applyBorder="1" applyAlignment="1">
      <alignment horizontal="left" vertical="top" wrapText="1"/>
    </xf>
    <xf numFmtId="0" fontId="7" fillId="0" borderId="7" xfId="0" applyFont="1" applyBorder="1"/>
    <xf numFmtId="0" fontId="7" fillId="0" borderId="13" xfId="0" applyFont="1" applyBorder="1"/>
    <xf numFmtId="0" fontId="3" fillId="0" borderId="8" xfId="0" applyFont="1" applyBorder="1" applyAlignment="1">
      <alignment horizontal="left" vertical="top" wrapText="1"/>
    </xf>
    <xf numFmtId="0" fontId="12" fillId="3" borderId="8" xfId="0" applyFont="1" applyFill="1" applyBorder="1" applyAlignment="1">
      <alignment horizontal="left" vertical="top" wrapText="1"/>
    </xf>
    <xf numFmtId="0" fontId="7" fillId="0" borderId="12" xfId="0" applyFont="1" applyBorder="1"/>
    <xf numFmtId="0" fontId="5" fillId="0" borderId="8" xfId="0" applyFont="1" applyBorder="1" applyAlignment="1">
      <alignment horizontal="left" vertical="top" wrapText="1"/>
    </xf>
    <xf numFmtId="0" fontId="16" fillId="3" borderId="11" xfId="0" applyFont="1" applyFill="1" applyBorder="1" applyAlignment="1">
      <alignment horizontal="left" vertical="top" wrapText="1"/>
    </xf>
    <xf numFmtId="0" fontId="23" fillId="0" borderId="11" xfId="0" applyFont="1" applyBorder="1" applyAlignment="1">
      <alignment horizontal="left" vertical="top" wrapText="1"/>
    </xf>
    <xf numFmtId="0" fontId="3" fillId="0" borderId="11" xfId="0" applyFont="1" applyBorder="1" applyAlignment="1">
      <alignment horizontal="left" vertical="top" wrapText="1"/>
    </xf>
    <xf numFmtId="0" fontId="3" fillId="3" borderId="11" xfId="0" applyFont="1" applyFill="1" applyBorder="1" applyAlignment="1">
      <alignment horizontal="left" vertical="top" wrapText="1"/>
    </xf>
    <xf numFmtId="0" fontId="3" fillId="3" borderId="8" xfId="0" applyFont="1" applyFill="1" applyBorder="1" applyAlignment="1">
      <alignment horizontal="left" vertical="top"/>
    </xf>
    <xf numFmtId="0" fontId="3" fillId="0" borderId="8" xfId="0" applyFont="1" applyBorder="1" applyAlignment="1">
      <alignment horizontal="left" vertical="top"/>
    </xf>
    <xf numFmtId="0" fontId="19" fillId="5" borderId="8" xfId="0" applyFont="1" applyFill="1" applyBorder="1" applyAlignment="1">
      <alignment horizontal="left" vertical="top" wrapText="1"/>
    </xf>
    <xf numFmtId="0" fontId="11" fillId="3" borderId="8" xfId="0" applyFont="1" applyFill="1" applyBorder="1" applyAlignment="1">
      <alignment horizontal="left" vertical="top" wrapText="1"/>
    </xf>
    <xf numFmtId="0" fontId="22" fillId="0" borderId="8" xfId="0" applyFont="1" applyBorder="1" applyAlignment="1">
      <alignment horizontal="left" vertical="top" wrapText="1"/>
    </xf>
    <xf numFmtId="0" fontId="3" fillId="3" borderId="7" xfId="0" applyFont="1" applyFill="1" applyBorder="1" applyAlignment="1">
      <alignment horizontal="left" vertical="top" wrapText="1"/>
    </xf>
    <xf numFmtId="0" fontId="3" fillId="0" borderId="7" xfId="0" applyFont="1" applyBorder="1" applyAlignment="1">
      <alignment horizontal="left" vertical="top" wrapText="1"/>
    </xf>
    <xf numFmtId="0" fontId="4" fillId="0" borderId="7" xfId="0" applyFont="1" applyBorder="1" applyAlignment="1">
      <alignment horizontal="left" vertical="top" wrapText="1"/>
    </xf>
    <xf numFmtId="0" fontId="13" fillId="3" borderId="8" xfId="0" applyFont="1" applyFill="1" applyBorder="1" applyAlignment="1">
      <alignment horizontal="left" vertical="top" wrapText="1"/>
    </xf>
    <xf numFmtId="0" fontId="19" fillId="0" borderId="8" xfId="0" applyFont="1" applyBorder="1" applyAlignment="1">
      <alignment horizontal="left" vertical="top" wrapText="1"/>
    </xf>
    <xf numFmtId="0" fontId="11" fillId="0" borderId="8" xfId="0" applyFont="1" applyBorder="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53"/>
  <sheetViews>
    <sheetView tabSelected="1" workbookViewId="0">
      <pane ySplit="1" topLeftCell="A2" activePane="bottomLeft" state="frozen"/>
      <selection pane="bottomLeft" activeCell="B2" sqref="B3"/>
    </sheetView>
  </sheetViews>
  <sheetFormatPr defaultColWidth="14.42578125" defaultRowHeight="15.75" customHeight="1"/>
  <cols>
    <col min="1" max="1" width="5.42578125" customWidth="1"/>
    <col min="2" max="2" width="31.42578125" customWidth="1"/>
    <col min="3" max="3" width="92.85546875" customWidth="1"/>
    <col min="4" max="4" width="16.140625" customWidth="1"/>
    <col min="5" max="5" width="15.7109375" customWidth="1"/>
    <col min="6" max="6" width="63.28515625" customWidth="1"/>
    <col min="7" max="7" width="20.7109375" customWidth="1"/>
    <col min="8" max="8" width="17.140625" customWidth="1"/>
  </cols>
  <sheetData>
    <row r="1" spans="1:26" ht="47.25" customHeight="1">
      <c r="A1" s="1"/>
      <c r="B1" s="3" t="s">
        <v>0</v>
      </c>
      <c r="C1" s="5" t="s">
        <v>2</v>
      </c>
      <c r="D1" s="7" t="s">
        <v>3</v>
      </c>
      <c r="E1" s="6" t="s">
        <v>4</v>
      </c>
      <c r="F1" s="6" t="s">
        <v>6</v>
      </c>
      <c r="G1" s="6" t="s">
        <v>7</v>
      </c>
      <c r="H1" s="8" t="s">
        <v>8</v>
      </c>
      <c r="I1" s="9"/>
      <c r="J1" s="9"/>
      <c r="K1" s="9"/>
      <c r="L1" s="9"/>
      <c r="M1" s="9"/>
      <c r="N1" s="9"/>
      <c r="O1" s="9"/>
      <c r="P1" s="9"/>
      <c r="Q1" s="9"/>
      <c r="R1" s="9"/>
      <c r="S1" s="9"/>
      <c r="T1" s="9"/>
      <c r="U1" s="9"/>
      <c r="V1" s="9"/>
      <c r="W1" s="9"/>
      <c r="X1" s="9"/>
      <c r="Y1" s="9"/>
      <c r="Z1" s="9"/>
    </row>
    <row r="2" spans="1:26" ht="37.5">
      <c r="A2" s="95">
        <v>1</v>
      </c>
      <c r="B2" s="95" t="s">
        <v>10</v>
      </c>
      <c r="C2" s="95" t="s">
        <v>12</v>
      </c>
      <c r="D2" s="95" t="s">
        <v>15</v>
      </c>
      <c r="E2" s="98" t="str">
        <f>HYPERLINK("www.mpf.mp.br/pa/sala-de-imprensa/documentos/2017/caso-belo-monte/acp-2001/acp-belo-monte2001.pdf/at_download/file","1ª ACP")</f>
        <v>1ª ACP</v>
      </c>
      <c r="F2" s="11" t="s">
        <v>18</v>
      </c>
      <c r="G2" s="12"/>
      <c r="H2" s="98" t="str">
        <f>HYPERLINK("http://www.trf1.jus.br/Processos/ProcessosTRF/ctrf1proc/ctrf1proc.php?proc=58507320014013900","Clique aqui")</f>
        <v>Clique aqui</v>
      </c>
      <c r="I2" s="14"/>
      <c r="J2" s="14"/>
      <c r="K2" s="14"/>
      <c r="L2" s="14"/>
      <c r="M2" s="14"/>
      <c r="N2" s="14"/>
      <c r="O2" s="14"/>
      <c r="P2" s="14"/>
      <c r="Q2" s="14"/>
      <c r="R2" s="14"/>
      <c r="S2" s="14"/>
      <c r="T2" s="14"/>
      <c r="U2" s="14"/>
      <c r="V2" s="14"/>
      <c r="W2" s="14"/>
      <c r="X2" s="14"/>
      <c r="Y2" s="14"/>
      <c r="Z2" s="14"/>
    </row>
    <row r="3" spans="1:26" ht="28.5" customHeight="1">
      <c r="A3" s="93"/>
      <c r="B3" s="93"/>
      <c r="C3" s="93"/>
      <c r="D3" s="93"/>
      <c r="E3" s="93"/>
      <c r="F3" s="101" t="s">
        <v>20</v>
      </c>
      <c r="G3" s="17" t="str">
        <f>HYPERLINK("www.mpf.mp.br/pa/sala-de-imprensa/documentos/2017/caso-belo-monte/acp-2001/belo-monte-acordao-trf1-acp-2001.pdf/at_download/file","Acórdão do TRF-1")</f>
        <v>Acórdão do TRF-1</v>
      </c>
      <c r="H3" s="93"/>
      <c r="I3" s="14"/>
      <c r="J3" s="14"/>
      <c r="K3" s="14"/>
      <c r="L3" s="14"/>
      <c r="M3" s="14"/>
      <c r="N3" s="14"/>
      <c r="O3" s="14"/>
      <c r="P3" s="14"/>
      <c r="Q3" s="14"/>
      <c r="R3" s="14"/>
      <c r="S3" s="14"/>
      <c r="T3" s="14"/>
      <c r="U3" s="14"/>
      <c r="V3" s="14"/>
      <c r="W3" s="14"/>
      <c r="X3" s="14"/>
      <c r="Y3" s="14"/>
      <c r="Z3" s="14"/>
    </row>
    <row r="4" spans="1:26" ht="28.5" customHeight="1">
      <c r="A4" s="93"/>
      <c r="B4" s="93"/>
      <c r="C4" s="93"/>
      <c r="D4" s="93"/>
      <c r="E4" s="93"/>
      <c r="F4" s="97"/>
      <c r="G4" s="17" t="str">
        <f>HYPERLINK("www.mpf.mp.br/pa/sala-de-imprensa/documentos/2017/caso-belo-monte/acp-2001/belo-monte-voto-relatora-acp-2001.pdf/at_download/file","Voto da relatora")</f>
        <v>Voto da relatora</v>
      </c>
      <c r="H4" s="93"/>
      <c r="I4" s="14"/>
      <c r="J4" s="14"/>
      <c r="K4" s="14"/>
      <c r="L4" s="14"/>
      <c r="M4" s="14"/>
      <c r="N4" s="14"/>
      <c r="O4" s="14"/>
      <c r="P4" s="14"/>
      <c r="Q4" s="14"/>
      <c r="R4" s="14"/>
      <c r="S4" s="14"/>
      <c r="T4" s="14"/>
      <c r="U4" s="14"/>
      <c r="V4" s="14"/>
      <c r="W4" s="14"/>
      <c r="X4" s="14"/>
      <c r="Y4" s="14"/>
      <c r="Z4" s="14"/>
    </row>
    <row r="5" spans="1:26" ht="75.75" customHeight="1">
      <c r="A5" s="94"/>
      <c r="B5" s="94"/>
      <c r="C5" s="94"/>
      <c r="D5" s="94"/>
      <c r="E5" s="94"/>
      <c r="F5" s="20" t="s">
        <v>24</v>
      </c>
      <c r="G5" s="21"/>
      <c r="H5" s="94"/>
      <c r="I5" s="14"/>
      <c r="J5" s="14"/>
      <c r="K5" s="14"/>
      <c r="L5" s="14"/>
      <c r="M5" s="14"/>
      <c r="N5" s="14"/>
      <c r="O5" s="14"/>
      <c r="P5" s="14"/>
      <c r="Q5" s="14"/>
      <c r="R5" s="14"/>
      <c r="S5" s="14"/>
      <c r="T5" s="14"/>
      <c r="U5" s="14"/>
      <c r="V5" s="14"/>
      <c r="W5" s="14"/>
      <c r="X5" s="14"/>
      <c r="Y5" s="14"/>
      <c r="Z5" s="14"/>
    </row>
    <row r="6" spans="1:26" ht="37.5">
      <c r="A6" s="92">
        <v>2</v>
      </c>
      <c r="B6" s="92" t="s">
        <v>25</v>
      </c>
      <c r="C6" s="92" t="s">
        <v>26</v>
      </c>
      <c r="D6" s="92" t="s">
        <v>27</v>
      </c>
      <c r="E6" s="96" t="str">
        <f>HYPERLINK("www.mpf.mp.br/pa/sala-de-imprensa/documentos/2017/caso-belo-monte/0000709-88-2006-4-01.3903/acp-belo-monte-2006.pdf/at_download/file","2ª ACP")</f>
        <v>2ª ACP</v>
      </c>
      <c r="F6" s="25" t="s">
        <v>32</v>
      </c>
      <c r="G6" s="26" t="str">
        <f>HYPERLINK("www.mpf.mp.br/pa/sala-de-imprensa/documentos/2017/caso-belo-monte/0000709-88-2006-4-01.3903/belo-monte-sentenca-jf-acp-consulta-previa.pdf/at_download/file","Sentença")</f>
        <v>Sentença</v>
      </c>
      <c r="H6" s="26" t="str">
        <f>HYPERLINK("http://www.trf1.jus.br/Processos/ProcessosTRF/ctrf1proc/ctrf1proc.php?tipoCon=1&amp;proc=7098820064013903","Andamento no TRF-1")</f>
        <v>Andamento no TRF-1</v>
      </c>
      <c r="I6" s="14"/>
      <c r="J6" s="14"/>
      <c r="K6" s="14"/>
      <c r="L6" s="14"/>
      <c r="M6" s="14"/>
      <c r="N6" s="14"/>
      <c r="O6" s="14"/>
      <c r="P6" s="14"/>
      <c r="Q6" s="14"/>
      <c r="R6" s="14"/>
      <c r="S6" s="14"/>
      <c r="T6" s="14"/>
      <c r="U6" s="14"/>
      <c r="V6" s="14"/>
      <c r="W6" s="14"/>
      <c r="X6" s="14"/>
      <c r="Y6" s="14"/>
      <c r="Z6" s="14"/>
    </row>
    <row r="7" spans="1:26" ht="18.75">
      <c r="A7" s="93"/>
      <c r="B7" s="93"/>
      <c r="C7" s="93"/>
      <c r="D7" s="93"/>
      <c r="E7" s="93"/>
      <c r="F7" s="102" t="s">
        <v>35</v>
      </c>
      <c r="G7" s="30" t="str">
        <f>HYPERLINK("www.mpf.mp.br/pa/sala-de-imprensa/documentos/2017/caso-belo-monte/0000709-88-2006-4-01.3903/belo-monte-acordao-trf1-acp-consulta-previa.pdf/at_download/file","Acórdão")</f>
        <v>Acórdão</v>
      </c>
      <c r="H7" s="99" t="str">
        <f>HYPERLINK("http://www.stf.jus.br/portal/processo/verProcessoAndamento.asp?incidente=4291650","Andamento no STF")</f>
        <v>Andamento no STF</v>
      </c>
      <c r="I7" s="14"/>
      <c r="J7" s="14"/>
      <c r="K7" s="14"/>
      <c r="L7" s="14"/>
      <c r="M7" s="14"/>
      <c r="N7" s="14"/>
      <c r="O7" s="14"/>
      <c r="P7" s="14"/>
      <c r="Q7" s="14"/>
      <c r="R7" s="14"/>
      <c r="S7" s="14"/>
      <c r="T7" s="14"/>
      <c r="U7" s="14"/>
      <c r="V7" s="14"/>
      <c r="W7" s="14"/>
      <c r="X7" s="14"/>
      <c r="Y7" s="14"/>
      <c r="Z7" s="14"/>
    </row>
    <row r="8" spans="1:26" ht="30.75" customHeight="1">
      <c r="A8" s="93"/>
      <c r="B8" s="93"/>
      <c r="C8" s="93"/>
      <c r="D8" s="93"/>
      <c r="E8" s="93"/>
      <c r="F8" s="97"/>
      <c r="G8" s="30" t="str">
        <f>HYPERLINK("www.mpf.mp.br/pa/sala-de-imprensa/documentos/2017/caso-belo-monte/0000709-88-2006-4-01.3903/belo-monte-voto-relatora-acp-consulta-previa.pdf/at_download/file","Voto")</f>
        <v>Voto</v>
      </c>
      <c r="H8" s="93"/>
      <c r="I8" s="14"/>
      <c r="J8" s="14"/>
      <c r="K8" s="14"/>
      <c r="L8" s="14"/>
      <c r="M8" s="14"/>
      <c r="N8" s="14"/>
      <c r="O8" s="14"/>
      <c r="P8" s="14"/>
      <c r="Q8" s="14"/>
      <c r="R8" s="14"/>
      <c r="S8" s="14"/>
      <c r="T8" s="14"/>
      <c r="U8" s="14"/>
      <c r="V8" s="14"/>
      <c r="W8" s="14"/>
      <c r="X8" s="14"/>
      <c r="Y8" s="14"/>
      <c r="Z8" s="14"/>
    </row>
    <row r="9" spans="1:26" ht="75">
      <c r="A9" s="93"/>
      <c r="B9" s="93"/>
      <c r="C9" s="93"/>
      <c r="D9" s="93"/>
      <c r="E9" s="93"/>
      <c r="F9" s="35" t="s">
        <v>40</v>
      </c>
      <c r="G9" s="30" t="str">
        <f>HYPERLINK("www.mpf.mp.br/pa/sala-de-imprensa/documentos/2017/caso-belo-monte/0000709-88-2006-4-01.3903/belo-monte-acordao-liminar-trf1-acp-consulta-previa.pdf/at_download/file","Decisão 5ª Turma")</f>
        <v>Decisão 5ª Turma</v>
      </c>
      <c r="H9" s="93"/>
      <c r="I9" s="14"/>
      <c r="J9" s="14"/>
      <c r="K9" s="14"/>
      <c r="L9" s="14"/>
      <c r="M9" s="14"/>
      <c r="N9" s="14"/>
      <c r="O9" s="14"/>
      <c r="P9" s="14"/>
      <c r="Q9" s="14"/>
      <c r="R9" s="14"/>
      <c r="S9" s="14"/>
      <c r="T9" s="14"/>
      <c r="U9" s="14"/>
      <c r="V9" s="14"/>
      <c r="W9" s="14"/>
      <c r="X9" s="14"/>
      <c r="Y9" s="14"/>
      <c r="Z9" s="14"/>
    </row>
    <row r="10" spans="1:26" ht="75">
      <c r="A10" s="94"/>
      <c r="B10" s="94"/>
      <c r="C10" s="94"/>
      <c r="D10" s="94"/>
      <c r="E10" s="94"/>
      <c r="F10" s="36" t="s">
        <v>43</v>
      </c>
      <c r="G10" s="33" t="str">
        <f>HYPERLINK("http://www.stf.jus.br/portal/diarioJustica/verDiarioProcesso.asp?numDj=171&amp;dataPublicacaoDj=30/08/2012&amp;incidente=4291692&amp;codCapitulo=6&amp;numMateria=123&amp;codMateria=10","Suspensão STF")</f>
        <v>Suspensão STF</v>
      </c>
      <c r="H10" s="94"/>
      <c r="I10" s="14"/>
      <c r="J10" s="14"/>
      <c r="K10" s="14"/>
      <c r="L10" s="14"/>
      <c r="M10" s="14"/>
      <c r="N10" s="14"/>
      <c r="O10" s="14"/>
      <c r="P10" s="14"/>
      <c r="Q10" s="14"/>
      <c r="R10" s="14"/>
      <c r="S10" s="14"/>
      <c r="T10" s="14"/>
      <c r="U10" s="14"/>
      <c r="V10" s="14"/>
      <c r="W10" s="14"/>
      <c r="X10" s="14"/>
      <c r="Y10" s="14"/>
      <c r="Z10" s="14"/>
    </row>
    <row r="11" spans="1:26" ht="37.5">
      <c r="A11" s="95">
        <v>3</v>
      </c>
      <c r="B11" s="95" t="s">
        <v>47</v>
      </c>
      <c r="C11" s="95" t="s">
        <v>48</v>
      </c>
      <c r="D11" s="95" t="s">
        <v>50</v>
      </c>
      <c r="E11" s="98" t="str">
        <f>HYPERLINK("http://www.mpf.mp.br/pa/sala-de-imprensa/documentos/2017/caso-belo-monte/0283-42-2007-4-01.3903/acp_belo_monte_termo_referencia.pdf/view","3ª ACP")</f>
        <v>3ª ACP</v>
      </c>
      <c r="F11" s="11" t="s">
        <v>52</v>
      </c>
      <c r="G11" s="13" t="str">
        <f>HYPERLINK("www.mpf.mp.br/pa/sala-de-imprensa/documentos/2017/caso-belo-monte/0283-42-2007-4-01.3903/belo-monte-sentenca-jf-acp-termo-de-referencia.pdf/at_download/file","Sentença")</f>
        <v>Sentença</v>
      </c>
      <c r="H11" s="98" t="str">
        <f>HYPERLINK("http://www.trf1.jus.br/Processos/ProcessosTRF/ctrf1proc/ctrf1proc.php?proc=2834220074013903&amp;tipoCon=1","Clique aqui")</f>
        <v>Clique aqui</v>
      </c>
      <c r="I11" s="14"/>
      <c r="J11" s="14"/>
      <c r="K11" s="14"/>
      <c r="L11" s="14"/>
      <c r="M11" s="14"/>
      <c r="N11" s="14"/>
      <c r="O11" s="14"/>
      <c r="P11" s="14"/>
      <c r="Q11" s="14"/>
      <c r="R11" s="14"/>
      <c r="S11" s="14"/>
      <c r="T11" s="14"/>
      <c r="U11" s="14"/>
      <c r="V11" s="14"/>
      <c r="W11" s="14"/>
      <c r="X11" s="14"/>
      <c r="Y11" s="14"/>
      <c r="Z11" s="14"/>
    </row>
    <row r="12" spans="1:26" ht="99" customHeight="1">
      <c r="A12" s="94"/>
      <c r="B12" s="94"/>
      <c r="C12" s="94"/>
      <c r="D12" s="94"/>
      <c r="E12" s="94"/>
      <c r="F12" s="20" t="s">
        <v>57</v>
      </c>
      <c r="G12" s="21"/>
      <c r="H12" s="94"/>
      <c r="I12" s="14"/>
      <c r="J12" s="14"/>
      <c r="K12" s="14"/>
      <c r="L12" s="14"/>
      <c r="M12" s="14"/>
      <c r="N12" s="14"/>
      <c r="O12" s="14"/>
      <c r="P12" s="14"/>
      <c r="Q12" s="14"/>
      <c r="R12" s="14"/>
      <c r="S12" s="14"/>
      <c r="T12" s="14"/>
      <c r="U12" s="14"/>
      <c r="V12" s="14"/>
      <c r="W12" s="14"/>
      <c r="X12" s="14"/>
      <c r="Y12" s="14"/>
      <c r="Z12" s="14"/>
    </row>
    <row r="13" spans="1:26" ht="18.75">
      <c r="A13" s="92">
        <v>4</v>
      </c>
      <c r="B13" s="92" t="s">
        <v>60</v>
      </c>
      <c r="C13" s="92" t="s">
        <v>61</v>
      </c>
      <c r="D13" s="92" t="s">
        <v>62</v>
      </c>
      <c r="E13" s="96" t="str">
        <f>HYPERLINK("www.mpf.mp.br/pa/sala-de-imprensa/documentos/2017/caso-belo-monte/3843-98-2007-4-01.3900/acp-convenio-empreiteiras-ementa-julgamento-trf1-38439820074013900_3.pdf/at_download/file","4ª ACP")</f>
        <v>4ª ACP</v>
      </c>
      <c r="F13" s="25" t="s">
        <v>64</v>
      </c>
      <c r="G13" s="26" t="str">
        <f>HYPERLINK("www.mpf.mp.br/pa/sala-de-imprensa/documentos/2017/caso-belo-monte/3843-98-2007-4-01.3900/belo-monte-decisao-liminar-trf1-acp-conveio-eletrobras.pdf/at_download/file","Liminar")</f>
        <v>Liminar</v>
      </c>
      <c r="H13" s="96" t="str">
        <f>HYPERLINK("http://processual.trf1.jus.br/consultaProcessual/processo.php?secao=TRF1&amp;opTrf=proc&amp;proc=200739000038430&amp;enviar=Ok","Clique aqui")</f>
        <v>Clique aqui</v>
      </c>
      <c r="I13" s="14"/>
      <c r="J13" s="14"/>
      <c r="K13" s="14"/>
      <c r="L13" s="14"/>
      <c r="M13" s="14"/>
      <c r="N13" s="14"/>
      <c r="O13" s="14"/>
      <c r="P13" s="14"/>
      <c r="Q13" s="14"/>
      <c r="R13" s="14"/>
      <c r="S13" s="14"/>
      <c r="T13" s="14"/>
      <c r="U13" s="14"/>
      <c r="V13" s="14"/>
      <c r="W13" s="14"/>
      <c r="X13" s="14"/>
      <c r="Y13" s="14"/>
      <c r="Z13" s="14"/>
    </row>
    <row r="14" spans="1:26" ht="56.25">
      <c r="A14" s="93"/>
      <c r="B14" s="93"/>
      <c r="C14" s="93"/>
      <c r="D14" s="93"/>
      <c r="E14" s="93"/>
      <c r="F14" s="35" t="s">
        <v>67</v>
      </c>
      <c r="G14" s="30" t="str">
        <f>HYPERLINK("www.mpf.mp.br/pa/sala-de-imprensa/documentos/2017/caso-belo-monte/3843-98-2007-4-01.3900/belo-monte-decisao-monocratica-trf1-liminar-acp-convenio-empreiteiras-1.pdf/at_download/file","Antecipação de tutela")</f>
        <v>Antecipação de tutela</v>
      </c>
      <c r="H14" s="93"/>
      <c r="I14" s="14"/>
      <c r="J14" s="14"/>
      <c r="K14" s="14"/>
      <c r="L14" s="14"/>
      <c r="M14" s="14"/>
      <c r="N14" s="14"/>
      <c r="O14" s="14"/>
      <c r="P14" s="14"/>
      <c r="Q14" s="14"/>
      <c r="R14" s="14"/>
      <c r="S14" s="14"/>
      <c r="T14" s="14"/>
      <c r="U14" s="14"/>
      <c r="V14" s="14"/>
      <c r="W14" s="14"/>
      <c r="X14" s="14"/>
      <c r="Y14" s="14"/>
      <c r="Z14" s="14"/>
    </row>
    <row r="15" spans="1:26" ht="81" customHeight="1">
      <c r="A15" s="93"/>
      <c r="B15" s="93"/>
      <c r="C15" s="93"/>
      <c r="D15" s="93"/>
      <c r="E15" s="93"/>
      <c r="F15" s="35" t="s">
        <v>71</v>
      </c>
      <c r="G15" s="42"/>
      <c r="H15" s="93"/>
      <c r="I15" s="14"/>
      <c r="J15" s="14"/>
      <c r="K15" s="14"/>
      <c r="L15" s="14"/>
      <c r="M15" s="14"/>
      <c r="N15" s="14"/>
      <c r="O15" s="14"/>
      <c r="P15" s="14"/>
      <c r="Q15" s="14"/>
      <c r="R15" s="14"/>
      <c r="S15" s="14"/>
      <c r="T15" s="14"/>
      <c r="U15" s="14"/>
      <c r="V15" s="14"/>
      <c r="W15" s="14"/>
      <c r="X15" s="14"/>
      <c r="Y15" s="14"/>
      <c r="Z15" s="14"/>
    </row>
    <row r="16" spans="1:26" ht="75">
      <c r="A16" s="93"/>
      <c r="B16" s="93"/>
      <c r="C16" s="93"/>
      <c r="D16" s="93"/>
      <c r="E16" s="93"/>
      <c r="F16" s="35" t="s">
        <v>74</v>
      </c>
      <c r="G16" s="30" t="str">
        <f>HYPERLINK("http://processual.trf1.jus.br/consultaProcessual/processo.php?trf1_captcha_id=38377b5593029f59d09398dadb0fca16&amp;trf1_captcha=czjs&amp;enviar=Pesquisar&amp;proc=00038439820074013900&amp;secao=PA","Sentença")</f>
        <v>Sentença</v>
      </c>
      <c r="H16" s="93"/>
      <c r="I16" s="14"/>
      <c r="J16" s="14"/>
      <c r="K16" s="14"/>
      <c r="L16" s="14"/>
      <c r="M16" s="14"/>
      <c r="N16" s="14"/>
      <c r="O16" s="14"/>
      <c r="P16" s="14"/>
      <c r="Q16" s="14"/>
      <c r="R16" s="14"/>
      <c r="S16" s="14"/>
      <c r="T16" s="14"/>
      <c r="U16" s="14"/>
      <c r="V16" s="14"/>
      <c r="W16" s="14"/>
      <c r="X16" s="14"/>
      <c r="Y16" s="14"/>
      <c r="Z16" s="14"/>
    </row>
    <row r="17" spans="1:26" ht="90">
      <c r="A17" s="93"/>
      <c r="B17" s="93"/>
      <c r="C17" s="93"/>
      <c r="D17" s="93"/>
      <c r="E17" s="93"/>
      <c r="F17" s="43" t="s">
        <v>77</v>
      </c>
      <c r="G17" s="32" t="str">
        <f>HYPERLINK("www.mpf.mp.br/pa/sala-de-imprensa/documentos/2017/caso-belo-monte/3843-98-2007-4-01.3900/acp-convenio-empreiteiras-ementa-julgamento-trf1-38439820074013900_3.pdf/at_download/file","Ementa")</f>
        <v>Ementa</v>
      </c>
      <c r="H17" s="93"/>
      <c r="I17" s="14"/>
      <c r="J17" s="14"/>
      <c r="K17" s="14"/>
      <c r="L17" s="14"/>
      <c r="M17" s="14"/>
      <c r="N17" s="14"/>
      <c r="O17" s="14"/>
      <c r="P17" s="14"/>
      <c r="Q17" s="14"/>
      <c r="R17" s="14"/>
      <c r="S17" s="14"/>
      <c r="T17" s="14"/>
      <c r="U17" s="14"/>
      <c r="V17" s="14"/>
      <c r="W17" s="14"/>
      <c r="X17" s="14"/>
      <c r="Y17" s="14"/>
      <c r="Z17" s="14"/>
    </row>
    <row r="18" spans="1:26" ht="18.75">
      <c r="A18" s="94"/>
      <c r="B18" s="94"/>
      <c r="C18" s="94"/>
      <c r="D18" s="94"/>
      <c r="E18" s="94"/>
      <c r="F18" s="28" t="s">
        <v>81</v>
      </c>
      <c r="G18" s="28"/>
      <c r="H18" s="94"/>
      <c r="I18" s="14"/>
      <c r="J18" s="14"/>
      <c r="K18" s="14"/>
      <c r="L18" s="14"/>
      <c r="M18" s="14"/>
      <c r="N18" s="14"/>
      <c r="O18" s="14"/>
      <c r="P18" s="14"/>
      <c r="Q18" s="14"/>
      <c r="R18" s="14"/>
      <c r="S18" s="14"/>
      <c r="T18" s="14"/>
      <c r="U18" s="14"/>
      <c r="V18" s="14"/>
      <c r="W18" s="14"/>
      <c r="X18" s="14"/>
      <c r="Y18" s="14"/>
      <c r="Z18" s="14"/>
    </row>
    <row r="19" spans="1:26" ht="75">
      <c r="A19" s="95">
        <v>5</v>
      </c>
      <c r="B19" s="95" t="s">
        <v>84</v>
      </c>
      <c r="C19" s="95" t="s">
        <v>85</v>
      </c>
      <c r="D19" s="95" t="s">
        <v>87</v>
      </c>
      <c r="E19" s="98" t="str">
        <f>HYPERLINK("www.mpf.mp.br/pa/sala-de-imprensa/documentos/2017/caso-belo-monte/0218-13-2008-4-01.3903/belo-monte-aia.pdf/at_download/file","1ª Ação de Improbidade")</f>
        <v>1ª Ação de Improbidade</v>
      </c>
      <c r="F19" s="11" t="s">
        <v>90</v>
      </c>
      <c r="G19" s="11" t="s">
        <v>91</v>
      </c>
      <c r="H19" s="13" t="str">
        <f>HYPERLINK("http://processual.trf1.jus.br/consultaProcessual/processo.php?proc=2181320084013903&amp;secao=3903","Na Justiça Federal em Altamira")</f>
        <v>Na Justiça Federal em Altamira</v>
      </c>
      <c r="I19" s="14"/>
      <c r="J19" s="14"/>
      <c r="K19" s="14"/>
      <c r="L19" s="14"/>
      <c r="M19" s="14"/>
      <c r="N19" s="14"/>
      <c r="O19" s="14"/>
      <c r="P19" s="14"/>
      <c r="Q19" s="14"/>
      <c r="R19" s="14"/>
      <c r="S19" s="14"/>
      <c r="T19" s="14"/>
      <c r="U19" s="14"/>
      <c r="V19" s="14"/>
      <c r="W19" s="14"/>
      <c r="X19" s="14"/>
      <c r="Y19" s="14"/>
      <c r="Z19" s="14"/>
    </row>
    <row r="20" spans="1:26" ht="25.5" customHeight="1">
      <c r="A20" s="93"/>
      <c r="B20" s="93"/>
      <c r="C20" s="93"/>
      <c r="D20" s="93"/>
      <c r="E20" s="93"/>
      <c r="F20" s="15" t="s">
        <v>95</v>
      </c>
      <c r="G20" s="17" t="str">
        <f>HYPERLINK("http://www.in.gov.br/visualiza/index.jsp?jornal=20&amp;pagina=686&amp;data=13/04/2012","Decisão do TRF")</f>
        <v>Decisão do TRF</v>
      </c>
      <c r="H20" s="17" t="str">
        <f>HYPERLINK("http://www.trf1.jus.br/Processos/ProcessosTRF/ctrf1proc/ctrf1proc.php?proc=2181320084013903&amp;tipoCon=1","No TRF-1")</f>
        <v>No TRF-1</v>
      </c>
      <c r="I20" s="14"/>
      <c r="J20" s="14"/>
      <c r="K20" s="14"/>
      <c r="L20" s="14"/>
      <c r="M20" s="14"/>
      <c r="N20" s="14"/>
      <c r="O20" s="14"/>
      <c r="P20" s="14"/>
      <c r="Q20" s="14"/>
      <c r="R20" s="14"/>
      <c r="S20" s="14"/>
      <c r="T20" s="14"/>
      <c r="U20" s="14"/>
      <c r="V20" s="14"/>
      <c r="W20" s="14"/>
      <c r="X20" s="14"/>
      <c r="Y20" s="14"/>
      <c r="Z20" s="14"/>
    </row>
    <row r="21" spans="1:26" ht="73.5" customHeight="1">
      <c r="A21" s="93"/>
      <c r="B21" s="93"/>
      <c r="C21" s="93"/>
      <c r="D21" s="93"/>
      <c r="E21" s="93"/>
      <c r="F21" s="15" t="s">
        <v>98</v>
      </c>
      <c r="G21" s="45"/>
      <c r="H21" s="100" t="str">
        <f>HYPERLINK("https://ww2.stj.jus.br/processo/pesquisa/?tipoPesquisa=tipoPesquisaNumeroRegistro&amp;termo=201200860889&amp;totalRegistrosPorPagina=40&amp;aplicacao=processos.ea","No STJ")</f>
        <v>No STJ</v>
      </c>
      <c r="I21" s="14"/>
      <c r="J21" s="14"/>
      <c r="K21" s="14"/>
      <c r="L21" s="14"/>
      <c r="M21" s="14"/>
      <c r="N21" s="14"/>
      <c r="O21" s="14"/>
      <c r="P21" s="14"/>
      <c r="Q21" s="14"/>
      <c r="R21" s="14"/>
      <c r="S21" s="14"/>
      <c r="T21" s="14"/>
      <c r="U21" s="14"/>
      <c r="V21" s="14"/>
      <c r="W21" s="14"/>
      <c r="X21" s="14"/>
      <c r="Y21" s="14"/>
      <c r="Z21" s="14"/>
    </row>
    <row r="22" spans="1:26" ht="45" customHeight="1">
      <c r="A22" s="97"/>
      <c r="B22" s="97"/>
      <c r="C22" s="97"/>
      <c r="D22" s="97"/>
      <c r="E22" s="97"/>
      <c r="F22" s="16" t="s">
        <v>102</v>
      </c>
      <c r="G22" s="47"/>
      <c r="H22" s="93"/>
      <c r="I22" s="14"/>
      <c r="J22" s="14"/>
      <c r="K22" s="14"/>
      <c r="L22" s="14"/>
      <c r="M22" s="14"/>
      <c r="N22" s="14"/>
      <c r="O22" s="14"/>
      <c r="P22" s="14"/>
      <c r="Q22" s="14"/>
      <c r="R22" s="14"/>
      <c r="S22" s="14"/>
      <c r="T22" s="14"/>
      <c r="U22" s="14"/>
      <c r="V22" s="14"/>
      <c r="W22" s="14"/>
      <c r="X22" s="14"/>
      <c r="Y22" s="14"/>
      <c r="Z22" s="14"/>
    </row>
    <row r="23" spans="1:26" ht="56.25">
      <c r="A23" s="92">
        <v>6</v>
      </c>
      <c r="B23" s="92" t="s">
        <v>106</v>
      </c>
      <c r="C23" s="92" t="s">
        <v>108</v>
      </c>
      <c r="D23" s="92" t="s">
        <v>109</v>
      </c>
      <c r="E23" s="96" t="str">
        <f>HYPERLINK("www.mpf.mp.br/pa/sala-de-imprensa/documentos/2017/caso-belo-monte/25779-77-2010-4-01.3900/acp-aceite-tr.pdf/at_download/file","5ª ACP")</f>
        <v>5ª ACP</v>
      </c>
      <c r="F23" s="25" t="s">
        <v>111</v>
      </c>
      <c r="G23" s="26" t="str">
        <f>HYPERLINK("http://processual.trf1.jus.br/consultaProcessual/arquivo/login/index.php?sistema=red&amp;download=1&amp;proc_id=10000121320&amp;cpw=480443900209&amp;secao=PA&amp;proc=257797720104013900&amp;desc=Senten%C3%A7a","Sentença")</f>
        <v>Sentença</v>
      </c>
      <c r="H23" s="26" t="str">
        <f>HYPERLINK("http://processual.trf1.jus.br/consultaProcessual/processo.php?proc=257797720104013900&amp;secao=PA&amp;nome=Eletrobrás&amp;mostrarBaixados=N","Na Justiça Federal em Belém")</f>
        <v>Na Justiça Federal em Belém</v>
      </c>
      <c r="I23" s="14"/>
      <c r="J23" s="14"/>
      <c r="K23" s="14"/>
      <c r="L23" s="14"/>
      <c r="M23" s="14"/>
      <c r="N23" s="14"/>
      <c r="O23" s="14"/>
      <c r="P23" s="14"/>
      <c r="Q23" s="14"/>
      <c r="R23" s="14"/>
      <c r="S23" s="14"/>
      <c r="T23" s="14"/>
      <c r="U23" s="14"/>
      <c r="V23" s="14"/>
      <c r="W23" s="14"/>
      <c r="X23" s="14"/>
      <c r="Y23" s="14"/>
      <c r="Z23" s="14"/>
    </row>
    <row r="24" spans="1:26" ht="167.25" customHeight="1">
      <c r="A24" s="94"/>
      <c r="B24" s="94"/>
      <c r="C24" s="94"/>
      <c r="D24" s="94"/>
      <c r="E24" s="94"/>
      <c r="F24" s="36" t="s">
        <v>114</v>
      </c>
      <c r="G24" s="44"/>
      <c r="H24" s="33" t="str">
        <f>HYPERLINK("http://www.trf1.jus.br/Processos/ProcessosTRF/ctrf1proc/ctrf1proc.php?tipoCon=1&amp;proc=257797720104013900","No TRF-1")</f>
        <v>No TRF-1</v>
      </c>
      <c r="I24" s="14"/>
      <c r="J24" s="14"/>
      <c r="K24" s="14"/>
      <c r="L24" s="14"/>
      <c r="M24" s="14"/>
      <c r="N24" s="14"/>
      <c r="O24" s="14"/>
      <c r="P24" s="14"/>
      <c r="Q24" s="14"/>
      <c r="R24" s="14"/>
      <c r="S24" s="14"/>
      <c r="T24" s="14"/>
      <c r="U24" s="14"/>
      <c r="V24" s="14"/>
      <c r="W24" s="14"/>
      <c r="X24" s="14"/>
      <c r="Y24" s="14"/>
      <c r="Z24" s="14"/>
    </row>
    <row r="25" spans="1:26" ht="51.75" customHeight="1">
      <c r="A25" s="95">
        <v>7</v>
      </c>
      <c r="B25" s="95" t="s">
        <v>116</v>
      </c>
      <c r="C25" s="95" t="s">
        <v>117</v>
      </c>
      <c r="D25" s="95" t="s">
        <v>118</v>
      </c>
      <c r="E25" s="98" t="str">
        <f>HYPERLINK("www.mpf.mp.br/pa/sala-de-imprensa/documentos/2017/caso-belo-monte/0363-35-2009-4-01.3903/improbidade-2009.pdf/at_download/file","2ª Ação de Improbidade")</f>
        <v>2ª Ação de Improbidade</v>
      </c>
      <c r="F25" s="11" t="s">
        <v>120</v>
      </c>
      <c r="G25" s="12"/>
      <c r="H25" s="98" t="str">
        <f>HYPERLINK("http://www.trf1.jus.br/Processos/ProcessosTRF/ctrf1proc/ctrf1proc.php?proc=3633520094013903&amp;tipoCon=1","Clique aqui")</f>
        <v>Clique aqui</v>
      </c>
      <c r="I25" s="14"/>
      <c r="J25" s="14"/>
      <c r="K25" s="14"/>
      <c r="L25" s="14"/>
      <c r="M25" s="14"/>
      <c r="N25" s="14"/>
      <c r="O25" s="14"/>
      <c r="P25" s="14"/>
      <c r="Q25" s="14"/>
      <c r="R25" s="14"/>
      <c r="S25" s="14"/>
      <c r="T25" s="14"/>
      <c r="U25" s="14"/>
      <c r="V25" s="14"/>
      <c r="W25" s="14"/>
      <c r="X25" s="14"/>
      <c r="Y25" s="14"/>
      <c r="Z25" s="14"/>
    </row>
    <row r="26" spans="1:26" ht="39" customHeight="1">
      <c r="A26" s="93"/>
      <c r="B26" s="93"/>
      <c r="C26" s="93"/>
      <c r="D26" s="93"/>
      <c r="E26" s="93"/>
      <c r="F26" s="15" t="s">
        <v>122</v>
      </c>
      <c r="G26" s="17" t="str">
        <f>HYPERLINK("http://www.prpa.mpf.mp.br/news/2014/arquivos/Acordao%20TRF1.pdf/at_download/file","Acórdão")</f>
        <v>Acórdão</v>
      </c>
      <c r="H26" s="93"/>
      <c r="I26" s="14"/>
      <c r="J26" s="14"/>
      <c r="K26" s="14"/>
      <c r="L26" s="14"/>
      <c r="M26" s="14"/>
      <c r="N26" s="14"/>
      <c r="O26" s="14"/>
      <c r="P26" s="14"/>
      <c r="Q26" s="14"/>
      <c r="R26" s="14"/>
      <c r="S26" s="14"/>
      <c r="T26" s="14"/>
      <c r="U26" s="14"/>
      <c r="V26" s="14"/>
      <c r="W26" s="14"/>
      <c r="X26" s="14"/>
      <c r="Y26" s="14"/>
      <c r="Z26" s="14"/>
    </row>
    <row r="27" spans="1:26" ht="37.5">
      <c r="A27" s="93"/>
      <c r="B27" s="93"/>
      <c r="C27" s="93"/>
      <c r="D27" s="93"/>
      <c r="E27" s="93"/>
      <c r="F27" s="15" t="s">
        <v>124</v>
      </c>
      <c r="G27" s="48"/>
      <c r="H27" s="93"/>
      <c r="I27" s="14"/>
      <c r="J27" s="14"/>
      <c r="K27" s="14"/>
      <c r="L27" s="14"/>
      <c r="M27" s="14"/>
      <c r="N27" s="14"/>
      <c r="O27" s="14"/>
      <c r="P27" s="14"/>
      <c r="Q27" s="14"/>
      <c r="R27" s="14"/>
      <c r="S27" s="14"/>
      <c r="T27" s="14"/>
      <c r="U27" s="14"/>
      <c r="V27" s="14"/>
      <c r="W27" s="14"/>
      <c r="X27" s="14"/>
      <c r="Y27" s="14"/>
      <c r="Z27" s="14"/>
    </row>
    <row r="28" spans="1:26" ht="37.5">
      <c r="A28" s="94"/>
      <c r="B28" s="94"/>
      <c r="C28" s="94"/>
      <c r="D28" s="94"/>
      <c r="E28" s="94"/>
      <c r="F28" s="16" t="s">
        <v>129</v>
      </c>
      <c r="G28" s="49"/>
      <c r="H28" s="94"/>
      <c r="I28" s="14"/>
      <c r="J28" s="14"/>
      <c r="K28" s="14"/>
      <c r="L28" s="14"/>
      <c r="M28" s="14"/>
      <c r="N28" s="14"/>
      <c r="O28" s="14"/>
      <c r="P28" s="14"/>
      <c r="Q28" s="14"/>
      <c r="R28" s="14"/>
      <c r="S28" s="14"/>
      <c r="T28" s="14"/>
      <c r="U28" s="14"/>
      <c r="V28" s="14"/>
      <c r="W28" s="14"/>
      <c r="X28" s="14"/>
      <c r="Y28" s="14"/>
      <c r="Z28" s="14"/>
    </row>
    <row r="29" spans="1:26" ht="37.5">
      <c r="A29" s="92">
        <v>8</v>
      </c>
      <c r="B29" s="92" t="s">
        <v>131</v>
      </c>
      <c r="C29" s="92" t="s">
        <v>132</v>
      </c>
      <c r="D29" s="92" t="s">
        <v>133</v>
      </c>
      <c r="E29" s="96" t="str">
        <f>HYPERLINK("www.mpf.mp.br/pa/sala-de-imprensa/documentos/2017/caso-belo-monte/26161-70-2010-4-01.3900/acp_belo_monte_novas_audiencias.pdf/at_download/file","6ª ACP")</f>
        <v>6ª ACP</v>
      </c>
      <c r="F29" s="25" t="s">
        <v>134</v>
      </c>
      <c r="G29" s="26" t="str">
        <f>HYPERLINK("http://www.prpa.mpf.gov.br/news/2012/Liminar%20Belo%20Monte%20Novas%20Audiencias.pdf/at_download/file","Liminar")</f>
        <v>Liminar</v>
      </c>
      <c r="H29" s="96" t="str">
        <f>HYPERLINK("http://processual.trf1.jus.br/consultaProcessual/processo.php?proc=261617020104013900&amp;secao=ATM&amp;nome=Eletrobrás&amp;mostrarBaixados=N","Clique aqui")</f>
        <v>Clique aqui</v>
      </c>
      <c r="I29" s="14"/>
      <c r="J29" s="14"/>
      <c r="K29" s="14"/>
      <c r="L29" s="14"/>
      <c r="M29" s="14"/>
      <c r="N29" s="14"/>
      <c r="O29" s="14"/>
      <c r="P29" s="14"/>
      <c r="Q29" s="14"/>
      <c r="R29" s="14"/>
      <c r="S29" s="14"/>
      <c r="T29" s="14"/>
      <c r="U29" s="14"/>
      <c r="V29" s="14"/>
      <c r="W29" s="14"/>
      <c r="X29" s="14"/>
      <c r="Y29" s="14"/>
      <c r="Z29" s="14"/>
    </row>
    <row r="30" spans="1:26" ht="37.5">
      <c r="A30" s="93"/>
      <c r="B30" s="93"/>
      <c r="C30" s="93"/>
      <c r="D30" s="93"/>
      <c r="E30" s="93"/>
      <c r="F30" s="35" t="s">
        <v>138</v>
      </c>
      <c r="G30" s="30" t="str">
        <f>HYPERLINK("http://www.prpa.mpf.mp.br/news/2014/arquivos/Decisao_Jirair_Cassa_Liminar.PDF/at_download/file","Suspensão")</f>
        <v>Suspensão</v>
      </c>
      <c r="H30" s="93"/>
      <c r="I30" s="14"/>
      <c r="J30" s="14"/>
      <c r="K30" s="14"/>
      <c r="L30" s="14"/>
      <c r="M30" s="14"/>
      <c r="N30" s="14"/>
      <c r="O30" s="14"/>
      <c r="P30" s="14"/>
      <c r="Q30" s="14"/>
      <c r="R30" s="14"/>
      <c r="S30" s="14"/>
      <c r="T30" s="14"/>
      <c r="U30" s="14"/>
      <c r="V30" s="14"/>
      <c r="W30" s="14"/>
      <c r="X30" s="14"/>
      <c r="Y30" s="14"/>
      <c r="Z30" s="14"/>
    </row>
    <row r="31" spans="1:26" ht="80.25" customHeight="1">
      <c r="A31" s="94"/>
      <c r="B31" s="94"/>
      <c r="C31" s="94"/>
      <c r="D31" s="94"/>
      <c r="E31" s="94"/>
      <c r="F31" s="28" t="s">
        <v>141</v>
      </c>
      <c r="G31" s="32" t="str">
        <f>HYPERLINK("http://processual.trf1.jus.br/consultaProcessual/arquivo/login/index.php?sistema=red&amp;download=1&amp;proc_id=10000147282&amp;cpw=497973903277&amp;secao=ATM&amp;proc=261617020104013900&amp;desc=Sentença","Sentença")</f>
        <v>Sentença</v>
      </c>
      <c r="H31" s="94"/>
      <c r="I31" s="14"/>
      <c r="J31" s="14"/>
      <c r="K31" s="14"/>
      <c r="L31" s="14"/>
      <c r="M31" s="14"/>
      <c r="N31" s="14"/>
      <c r="O31" s="14"/>
      <c r="P31" s="14"/>
      <c r="Q31" s="14"/>
      <c r="R31" s="14"/>
      <c r="S31" s="14"/>
      <c r="T31" s="14"/>
      <c r="U31" s="14"/>
      <c r="V31" s="14"/>
      <c r="W31" s="14"/>
      <c r="X31" s="14"/>
      <c r="Y31" s="14"/>
      <c r="Z31" s="14"/>
    </row>
    <row r="32" spans="1:26" ht="56.25">
      <c r="A32" s="95">
        <v>9</v>
      </c>
      <c r="B32" s="95" t="s">
        <v>143</v>
      </c>
      <c r="C32" s="95" t="s">
        <v>146</v>
      </c>
      <c r="D32" s="95" t="s">
        <v>148</v>
      </c>
      <c r="E32" s="98" t="str">
        <f>HYPERLINK("www.mpf.mp.br/pa/sala-de-imprensa/documentos/2017/caso-belo-monte/25999-75-2010-4-01.3900/acp-belo-monte-potencial-hidreletrico-irregularidades-ambientais.pdf/at_download/file","7ª ACP")</f>
        <v>7ª ACP</v>
      </c>
      <c r="F32" s="11" t="s">
        <v>150</v>
      </c>
      <c r="G32" s="13" t="str">
        <f>HYPERLINK("www.mpf.mp.br/pa/sala-de-imprensa/documentos/2017/caso-belo-monte/25999-75-2010-4-01.3900/liminar_licencaprevia_irregularidadesambientais.pdf/at_download/file","Liminar")</f>
        <v>Liminar</v>
      </c>
      <c r="H32" s="13" t="str">
        <f>HYPERLINK("http://processual.trf1.jus.br/consultaProcessual/processo.php?proc=25999-75.2010.4.01.3900&amp;secao=PA&amp;enviar=Pesquisar","Na Justiça Federal em Belém")</f>
        <v>Na Justiça Federal em Belém</v>
      </c>
      <c r="I32" s="14"/>
      <c r="J32" s="14"/>
      <c r="K32" s="14"/>
      <c r="L32" s="14"/>
      <c r="M32" s="14"/>
      <c r="N32" s="14"/>
      <c r="O32" s="14"/>
      <c r="P32" s="14"/>
      <c r="Q32" s="14"/>
      <c r="R32" s="14"/>
      <c r="S32" s="14"/>
      <c r="T32" s="14"/>
      <c r="U32" s="14"/>
      <c r="V32" s="14"/>
      <c r="W32" s="14"/>
      <c r="X32" s="14"/>
      <c r="Y32" s="14"/>
      <c r="Z32" s="14"/>
    </row>
    <row r="33" spans="1:26" ht="37.5">
      <c r="A33" s="93"/>
      <c r="B33" s="93"/>
      <c r="C33" s="93"/>
      <c r="D33" s="93"/>
      <c r="E33" s="93"/>
      <c r="F33" s="15" t="s">
        <v>152</v>
      </c>
      <c r="G33" s="17" t="str">
        <f>HYPERLINK("www.mpf.mp.br/pa/sala-de-imprensa/documentos/2017/caso-belo-monte/25999-75-2010-4-01.3900/slat-agravo-regimental-ahe-belo-monte-ii.pdf/at_download/file","Suspensão")</f>
        <v>Suspensão</v>
      </c>
      <c r="H33" s="100" t="str">
        <f>HYPERLINK("http://www.trf1.jus.br/Processos/ProcessosTRF/ctrf1proc/ctrf1proc.php?proc=00259997520104013900","No TRF-1")</f>
        <v>No TRF-1</v>
      </c>
      <c r="I33" s="14"/>
      <c r="J33" s="14"/>
      <c r="K33" s="14"/>
      <c r="L33" s="14"/>
      <c r="M33" s="14"/>
      <c r="N33" s="14"/>
      <c r="O33" s="14"/>
      <c r="P33" s="14"/>
      <c r="Q33" s="14"/>
      <c r="R33" s="14"/>
      <c r="S33" s="14"/>
      <c r="T33" s="14"/>
      <c r="U33" s="14"/>
      <c r="V33" s="14"/>
      <c r="W33" s="14"/>
      <c r="X33" s="14"/>
      <c r="Y33" s="14"/>
      <c r="Z33" s="14"/>
    </row>
    <row r="34" spans="1:26" ht="63.75" customHeight="1">
      <c r="A34" s="93"/>
      <c r="B34" s="93"/>
      <c r="C34" s="93"/>
      <c r="D34" s="93"/>
      <c r="E34" s="93"/>
      <c r="F34" s="16" t="s">
        <v>155</v>
      </c>
      <c r="G34" s="46" t="str">
        <f>HYPERLINK("www.mpf.mp.br/pa/sala-de-imprensa/documentos/2017/caso-belo-monte/25999-75-2010-4-01.3900/acordao-apelacao.pdf/at_download/file","Acórdão")</f>
        <v>Acórdão</v>
      </c>
      <c r="H34" s="93"/>
      <c r="I34" s="14"/>
      <c r="J34" s="14"/>
      <c r="K34" s="14"/>
      <c r="L34" s="14"/>
      <c r="M34" s="14"/>
      <c r="N34" s="14"/>
      <c r="O34" s="14"/>
      <c r="P34" s="14"/>
      <c r="Q34" s="14"/>
      <c r="R34" s="14"/>
      <c r="S34" s="14"/>
      <c r="T34" s="14"/>
      <c r="U34" s="14"/>
      <c r="V34" s="14"/>
      <c r="W34" s="14"/>
      <c r="X34" s="14"/>
      <c r="Y34" s="14"/>
      <c r="Z34" s="14"/>
    </row>
    <row r="35" spans="1:26" ht="63.75" customHeight="1">
      <c r="A35" s="94"/>
      <c r="B35" s="94"/>
      <c r="C35" s="94"/>
      <c r="D35" s="94"/>
      <c r="E35" s="94"/>
      <c r="F35" s="20" t="s">
        <v>158</v>
      </c>
      <c r="G35" s="22"/>
      <c r="H35" s="94"/>
      <c r="I35" s="14"/>
      <c r="J35" s="14"/>
      <c r="K35" s="14"/>
      <c r="L35" s="14"/>
      <c r="M35" s="14"/>
      <c r="N35" s="14"/>
      <c r="O35" s="14"/>
      <c r="P35" s="14"/>
      <c r="Q35" s="14"/>
      <c r="R35" s="14"/>
      <c r="S35" s="14"/>
      <c r="T35" s="14"/>
      <c r="U35" s="14"/>
      <c r="V35" s="14"/>
      <c r="W35" s="14"/>
      <c r="X35" s="14"/>
      <c r="Y35" s="14"/>
      <c r="Z35" s="14"/>
    </row>
    <row r="36" spans="1:26" ht="56.25">
      <c r="A36" s="92">
        <v>10</v>
      </c>
      <c r="B36" s="92" t="s">
        <v>160</v>
      </c>
      <c r="C36" s="92" t="s">
        <v>161</v>
      </c>
      <c r="D36" s="92" t="s">
        <v>162</v>
      </c>
      <c r="E36" s="96" t="str">
        <f>HYPERLINK("www.mpf.mp.br/pa/sala-de-imprensa/documentos/2017/caso-belo-monte/25997-08-2010-4-01.3900/acp-belo-monte-regulamenta-176-cf.pdf/at_download/file","8ª ACP")</f>
        <v>8ª ACP</v>
      </c>
      <c r="F36" s="25" t="s">
        <v>164</v>
      </c>
      <c r="G36" s="26" t="str">
        <f>HYPERLINK("http://www.mpf.mp.br/pa/sala-de-imprensa/documentos/2017/caso-belo-monte/25997-08-2010-4-01.3900/liminar_licencaprevia_art176.pdf/view","Liminar")</f>
        <v>Liminar</v>
      </c>
      <c r="H36" s="26" t="str">
        <f>HYPERLINK("http://processual.trf1.jus.br/consultaProcessual/processo.php?proc=25997-08.2010.4.01.3900&amp;secao=PA&amp;enviar=Pesquisar","Na Justiça Federal em Belém")</f>
        <v>Na Justiça Federal em Belém</v>
      </c>
      <c r="I36" s="14"/>
      <c r="J36" s="14"/>
      <c r="K36" s="14"/>
      <c r="L36" s="14"/>
      <c r="M36" s="14"/>
      <c r="N36" s="14"/>
      <c r="O36" s="14"/>
      <c r="P36" s="14"/>
      <c r="Q36" s="14"/>
      <c r="R36" s="14"/>
      <c r="S36" s="14"/>
      <c r="T36" s="14"/>
      <c r="U36" s="14"/>
      <c r="V36" s="14"/>
      <c r="W36" s="14"/>
      <c r="X36" s="14"/>
      <c r="Y36" s="14"/>
      <c r="Z36" s="14"/>
    </row>
    <row r="37" spans="1:26" ht="37.5">
      <c r="A37" s="93"/>
      <c r="B37" s="93"/>
      <c r="C37" s="93"/>
      <c r="D37" s="93"/>
      <c r="E37" s="93"/>
      <c r="F37" s="35" t="s">
        <v>167</v>
      </c>
      <c r="G37" s="30" t="str">
        <f>HYPERLINK("http://www.prpa.mpf.mp.br/news/2014/arquivos/Suspensao_Liminar_LicencaPrevia_Art176.pdf/at_download/file","Suspensão")</f>
        <v>Suspensão</v>
      </c>
      <c r="H37" s="99" t="str">
        <f>HYPERLINK("http://www.trf1.jus.br/Processos/ProcessosTRF/ctrf1proc/ctrf1proc.php?proc=00259970820104013900","No TRF-1")</f>
        <v>No TRF-1</v>
      </c>
      <c r="I37" s="14"/>
      <c r="J37" s="14"/>
      <c r="K37" s="14"/>
      <c r="L37" s="14"/>
      <c r="M37" s="14"/>
      <c r="N37" s="14"/>
      <c r="O37" s="14"/>
      <c r="P37" s="14"/>
      <c r="Q37" s="14"/>
      <c r="R37" s="14"/>
      <c r="S37" s="14"/>
      <c r="T37" s="14"/>
      <c r="U37" s="14"/>
      <c r="V37" s="14"/>
      <c r="W37" s="14"/>
      <c r="X37" s="14"/>
      <c r="Y37" s="14"/>
      <c r="Z37" s="14"/>
    </row>
    <row r="38" spans="1:26" ht="37.5">
      <c r="A38" s="93"/>
      <c r="B38" s="93"/>
      <c r="C38" s="93"/>
      <c r="D38" s="93"/>
      <c r="E38" s="93"/>
      <c r="F38" s="35" t="s">
        <v>170</v>
      </c>
      <c r="G38" s="42"/>
      <c r="H38" s="93"/>
      <c r="I38" s="14"/>
      <c r="J38" s="14"/>
      <c r="K38" s="14"/>
      <c r="L38" s="14"/>
      <c r="M38" s="14"/>
      <c r="N38" s="14"/>
      <c r="O38" s="14"/>
      <c r="P38" s="14"/>
      <c r="Q38" s="14"/>
      <c r="R38" s="14"/>
      <c r="S38" s="14"/>
      <c r="T38" s="14"/>
      <c r="U38" s="14"/>
      <c r="V38" s="14"/>
      <c r="W38" s="14"/>
      <c r="X38" s="14"/>
      <c r="Y38" s="14"/>
      <c r="Z38" s="14"/>
    </row>
    <row r="39" spans="1:26" ht="18.75">
      <c r="A39" s="94"/>
      <c r="B39" s="94"/>
      <c r="C39" s="94"/>
      <c r="D39" s="94"/>
      <c r="E39" s="94"/>
      <c r="F39" s="28" t="s">
        <v>172</v>
      </c>
      <c r="G39" s="57"/>
      <c r="H39" s="94"/>
      <c r="I39" s="14"/>
      <c r="J39" s="14"/>
      <c r="K39" s="14"/>
      <c r="L39" s="14"/>
      <c r="M39" s="14"/>
      <c r="N39" s="14"/>
      <c r="O39" s="14"/>
      <c r="P39" s="14"/>
      <c r="Q39" s="14"/>
      <c r="R39" s="14"/>
      <c r="S39" s="14"/>
      <c r="T39" s="14"/>
      <c r="U39" s="14"/>
      <c r="V39" s="14"/>
      <c r="W39" s="14"/>
      <c r="X39" s="14"/>
      <c r="Y39" s="14"/>
      <c r="Z39" s="14"/>
    </row>
    <row r="40" spans="1:26" ht="56.25">
      <c r="A40" s="95">
        <v>11</v>
      </c>
      <c r="B40" s="95" t="s">
        <v>175</v>
      </c>
      <c r="C40" s="95" t="s">
        <v>176</v>
      </c>
      <c r="D40" s="95" t="s">
        <v>177</v>
      </c>
      <c r="E40" s="98" t="str">
        <f>HYPERLINK("www.mpf.mp.br/pa/sala-de-imprensa/documentos/2017/caso-belo-monte/968-19-2011-4-01.3900/acp_li_final.pdf/at_download/file","9ª ACP")</f>
        <v>9ª ACP</v>
      </c>
      <c r="F40" s="11" t="s">
        <v>179</v>
      </c>
      <c r="G40" s="13" t="str">
        <f>HYPERLINK("http://arquivo.trf1.gov.br/AGText/2011/0012200/00122086520114010000_8.doc","Suspensão")</f>
        <v>Suspensão</v>
      </c>
      <c r="H40" s="13" t="str">
        <f>HYPERLINK("http://processual.trf1.jus.br/consultaProcessual/processo.php?proc=968-19.2011.4.01.3900&amp;secao=PA&amp;enviar=Pesquisar","Na Justiça Federal em Belém")</f>
        <v>Na Justiça Federal em Belém</v>
      </c>
      <c r="I40" s="14"/>
      <c r="J40" s="14"/>
      <c r="K40" s="58"/>
      <c r="L40" s="14"/>
      <c r="M40" s="14"/>
      <c r="N40" s="14"/>
      <c r="O40" s="14"/>
      <c r="P40" s="14"/>
      <c r="Q40" s="14"/>
      <c r="R40" s="14"/>
      <c r="S40" s="14"/>
      <c r="T40" s="14"/>
      <c r="U40" s="14"/>
      <c r="V40" s="14"/>
      <c r="W40" s="14"/>
      <c r="X40" s="14"/>
      <c r="Y40" s="14"/>
      <c r="Z40" s="14"/>
    </row>
    <row r="41" spans="1:26" ht="56.25">
      <c r="A41" s="93"/>
      <c r="B41" s="93"/>
      <c r="C41" s="93"/>
      <c r="D41" s="93"/>
      <c r="E41" s="93"/>
      <c r="F41" s="15" t="s">
        <v>181</v>
      </c>
      <c r="G41" s="17" t="str">
        <f>HYPERLINK("http://processual.trf1.jus.br/consultaProcessual/processo.php?proc=968-19.2011.4.01.3900&amp;secao=PA&amp;enviar=Pesquisar","Sentença")</f>
        <v>Sentença</v>
      </c>
      <c r="H41" s="100" t="str">
        <f>HYPERLINK("http://processual.trf1.jus.br/consultaProcessual/processo.php?proc=9681920114013900&amp;secao=TRF1&amp;nome=&amp;mostrarBaixados=","No TRF-1")</f>
        <v>No TRF-1</v>
      </c>
      <c r="I41" s="14"/>
      <c r="J41" s="14"/>
      <c r="K41" s="14"/>
      <c r="L41" s="14"/>
      <c r="M41" s="14"/>
      <c r="N41" s="14"/>
      <c r="O41" s="14"/>
      <c r="P41" s="14"/>
      <c r="Q41" s="14"/>
      <c r="R41" s="14"/>
      <c r="S41" s="14"/>
      <c r="T41" s="14"/>
      <c r="U41" s="14"/>
      <c r="V41" s="14"/>
      <c r="W41" s="14"/>
      <c r="X41" s="14"/>
      <c r="Y41" s="14"/>
      <c r="Z41" s="14"/>
    </row>
    <row r="42" spans="1:26" ht="75">
      <c r="A42" s="93"/>
      <c r="B42" s="93"/>
      <c r="C42" s="93"/>
      <c r="D42" s="93"/>
      <c r="E42" s="93"/>
      <c r="F42" s="15" t="s">
        <v>183</v>
      </c>
      <c r="G42" s="48"/>
      <c r="H42" s="93"/>
      <c r="I42" s="14"/>
      <c r="J42" s="14"/>
      <c r="K42" s="14"/>
      <c r="L42" s="14"/>
      <c r="M42" s="14"/>
      <c r="N42" s="14"/>
      <c r="O42" s="14"/>
      <c r="P42" s="14"/>
      <c r="Q42" s="14"/>
      <c r="R42" s="14"/>
      <c r="S42" s="14"/>
      <c r="T42" s="14"/>
      <c r="U42" s="14"/>
      <c r="V42" s="14"/>
      <c r="W42" s="14"/>
      <c r="X42" s="14"/>
      <c r="Y42" s="14"/>
      <c r="Z42" s="14"/>
    </row>
    <row r="43" spans="1:26" ht="75">
      <c r="A43" s="94"/>
      <c r="B43" s="94"/>
      <c r="C43" s="94"/>
      <c r="D43" s="94"/>
      <c r="E43" s="94"/>
      <c r="F43" s="20" t="s">
        <v>185</v>
      </c>
      <c r="G43" s="50" t="str">
        <f>HYPERLINK("www.mpf.mp.br/pa/sala-de-imprensa/documentos/2017/caso-belo-monte/968-19-2011-4-01.3900/decisao-reafirmando-validade-da-slat.pdf/at_download/file","Decisão")</f>
        <v>Decisão</v>
      </c>
      <c r="H43" s="94"/>
      <c r="I43" s="14"/>
      <c r="J43" s="14"/>
      <c r="K43" s="14"/>
      <c r="L43" s="14"/>
      <c r="M43" s="14"/>
      <c r="N43" s="14"/>
      <c r="O43" s="14"/>
      <c r="P43" s="14"/>
      <c r="Q43" s="14"/>
      <c r="R43" s="14"/>
      <c r="S43" s="14"/>
      <c r="T43" s="14"/>
      <c r="U43" s="14"/>
      <c r="V43" s="14"/>
      <c r="W43" s="14"/>
      <c r="X43" s="14"/>
      <c r="Y43" s="14"/>
      <c r="Z43" s="14"/>
    </row>
    <row r="44" spans="1:26" ht="18.75">
      <c r="A44" s="92">
        <v>12</v>
      </c>
      <c r="B44" s="92" t="s">
        <v>186</v>
      </c>
      <c r="C44" s="92" t="s">
        <v>188</v>
      </c>
      <c r="D44" s="92" t="s">
        <v>190</v>
      </c>
      <c r="E44" s="96" t="str">
        <f>HYPERLINK("www.mpf.mp.br/pa/sala-de-imprensa/documentos/2017/caso-belo-monte/18026-35-2011-4-01.3900/acp_li.pdf/at_download/file","10ª ACP")</f>
        <v>10ª ACP</v>
      </c>
      <c r="F44" s="25" t="s">
        <v>192</v>
      </c>
      <c r="G44" s="61"/>
      <c r="H44" s="96" t="str">
        <f>HYPERLINK("http://processual.trf1.jus.br/consultaProcessual/processo.php?proc=180263520114013900&amp;secao=PA","Clique aqui")</f>
        <v>Clique aqui</v>
      </c>
      <c r="I44" s="14"/>
      <c r="J44" s="14"/>
      <c r="K44" s="14"/>
      <c r="L44" s="14"/>
      <c r="M44" s="14"/>
      <c r="N44" s="14"/>
      <c r="O44" s="14"/>
      <c r="P44" s="14"/>
      <c r="Q44" s="14"/>
      <c r="R44" s="14"/>
      <c r="S44" s="14"/>
      <c r="T44" s="14"/>
      <c r="U44" s="14"/>
      <c r="V44" s="14"/>
      <c r="W44" s="14"/>
      <c r="X44" s="14"/>
      <c r="Y44" s="14"/>
      <c r="Z44" s="14"/>
    </row>
    <row r="45" spans="1:26" ht="119.25" customHeight="1">
      <c r="A45" s="94"/>
      <c r="B45" s="94"/>
      <c r="C45" s="94"/>
      <c r="D45" s="94"/>
      <c r="E45" s="94"/>
      <c r="F45" s="28" t="s">
        <v>194</v>
      </c>
      <c r="G45" s="32" t="str">
        <f>HYPERLINK("http://portal.trf1.jus.br/lumis/portal/file/fileDownload.jsp?fileId=2C90825046B17C7D0146D439F45F5402","Sentença")</f>
        <v>Sentença</v>
      </c>
      <c r="H45" s="94"/>
      <c r="I45" s="14"/>
      <c r="J45" s="14"/>
      <c r="K45" s="14"/>
      <c r="L45" s="14"/>
      <c r="M45" s="14"/>
      <c r="N45" s="14"/>
      <c r="O45" s="14"/>
      <c r="P45" s="14"/>
      <c r="Q45" s="14"/>
      <c r="R45" s="14"/>
      <c r="S45" s="14"/>
      <c r="T45" s="14"/>
      <c r="U45" s="14"/>
      <c r="V45" s="14"/>
      <c r="W45" s="14"/>
      <c r="X45" s="14"/>
      <c r="Y45" s="14"/>
      <c r="Z45" s="14"/>
    </row>
    <row r="46" spans="1:26" ht="37.5">
      <c r="A46" s="95">
        <v>13</v>
      </c>
      <c r="B46" s="95" t="s">
        <v>196</v>
      </c>
      <c r="C46" s="95" t="s">
        <v>197</v>
      </c>
      <c r="D46" s="95" t="s">
        <v>199</v>
      </c>
      <c r="E46" s="98" t="str">
        <f>HYPERLINK("www.mpf.mp.br/pa/sala-de-imprensa/documentos/2017/caso-belo-monte/0028944-98-2011-4-01.3900/belomonte_remocao.pdf/at_download/file","11ª ACP")</f>
        <v>11ª ACP</v>
      </c>
      <c r="F46" s="11" t="s">
        <v>201</v>
      </c>
      <c r="G46" s="12"/>
      <c r="H46" s="98" t="str">
        <f>HYPERLINK("http://processual.trf1.jus.br/consultaProcessual/processo.php?proc=289449820114013900&amp;secao=TRF1&amp;nome=&amp;mostrarBaixados=","No TRF-1")</f>
        <v>No TRF-1</v>
      </c>
      <c r="I46" s="14"/>
      <c r="J46" s="14"/>
      <c r="K46" s="14"/>
      <c r="L46" s="14"/>
      <c r="M46" s="14"/>
      <c r="N46" s="14"/>
      <c r="O46" s="14"/>
      <c r="P46" s="14"/>
      <c r="Q46" s="14"/>
      <c r="R46" s="14"/>
      <c r="S46" s="14"/>
      <c r="T46" s="14"/>
      <c r="U46" s="14"/>
      <c r="V46" s="14"/>
      <c r="W46" s="14"/>
      <c r="X46" s="14"/>
      <c r="Y46" s="14"/>
      <c r="Z46" s="14"/>
    </row>
    <row r="47" spans="1:26" ht="56.25">
      <c r="A47" s="93"/>
      <c r="B47" s="93"/>
      <c r="C47" s="93"/>
      <c r="D47" s="93"/>
      <c r="E47" s="93"/>
      <c r="F47" s="15" t="s">
        <v>203</v>
      </c>
      <c r="G47" s="17" t="str">
        <f>HYPERLINK("http://processual.trf1.jus.br/consultaProcessual/arquivo/login/index.php?sistema=red&amp;download=1&amp;proc_id=10001467933&amp;cpw=3507283900224&amp;secao=PA&amp;proc=00289449820114013900&amp;desc=Sentença","Sentença")</f>
        <v>Sentença</v>
      </c>
      <c r="H47" s="93"/>
      <c r="I47" s="14"/>
      <c r="J47" s="14"/>
      <c r="K47" s="14"/>
      <c r="L47" s="14"/>
      <c r="M47" s="14"/>
      <c r="N47" s="14"/>
      <c r="O47" s="14"/>
      <c r="P47" s="14"/>
      <c r="Q47" s="14"/>
      <c r="R47" s="14"/>
      <c r="S47" s="14"/>
      <c r="T47" s="14"/>
      <c r="U47" s="14"/>
      <c r="V47" s="14"/>
      <c r="W47" s="14"/>
      <c r="X47" s="14"/>
      <c r="Y47" s="14"/>
      <c r="Z47" s="14"/>
    </row>
    <row r="48" spans="1:26" ht="66" customHeight="1">
      <c r="A48" s="94"/>
      <c r="B48" s="94"/>
      <c r="C48" s="94"/>
      <c r="D48" s="94"/>
      <c r="E48" s="94"/>
      <c r="F48" s="16" t="s">
        <v>204</v>
      </c>
      <c r="G48" s="49"/>
      <c r="H48" s="94"/>
      <c r="I48" s="14"/>
      <c r="J48" s="14"/>
      <c r="K48" s="14"/>
      <c r="L48" s="14"/>
      <c r="M48" s="14"/>
      <c r="N48" s="14"/>
      <c r="O48" s="14"/>
      <c r="P48" s="14"/>
      <c r="Q48" s="14"/>
      <c r="R48" s="14"/>
      <c r="S48" s="14"/>
      <c r="T48" s="14"/>
      <c r="U48" s="14"/>
      <c r="V48" s="14"/>
      <c r="W48" s="14"/>
      <c r="X48" s="14"/>
      <c r="Y48" s="14"/>
      <c r="Z48" s="14"/>
    </row>
    <row r="49" spans="1:26" ht="37.5">
      <c r="A49" s="92">
        <v>14</v>
      </c>
      <c r="B49" s="92" t="s">
        <v>205</v>
      </c>
      <c r="C49" s="92" t="s">
        <v>206</v>
      </c>
      <c r="D49" s="92" t="s">
        <v>208</v>
      </c>
      <c r="E49" s="96" t="str">
        <f>HYPERLINK("www.mpf.mp.br/pa/sala-de-imprensa/documentos/2017/caso-belo-monte/0001618-57-2011-4-01.3903/acp-desapropriacoes-area-rural.pdf/at_download/file","12ª ACP")</f>
        <v>12ª ACP</v>
      </c>
      <c r="F49" s="25" t="s">
        <v>210</v>
      </c>
      <c r="G49" s="26" t="str">
        <f>HYPERLINK("http://processual.trf1.jus.br/consultaProcessual/arquivo/abrir.php?tipo=fs&amp;nome=16ac077bcb68d983ff9c3174259da2c0.pdf&amp;size=621632","Liminar")</f>
        <v>Liminar</v>
      </c>
      <c r="H49" s="96" t="str">
        <f>HYPERLINK("http://processual.trf1.jus.br/consultaProcessual/processo.php?proc=16185720114013903&amp;secao=TRF1&amp;nome=&amp;mostrarBaixados=","No TRF-1")</f>
        <v>No TRF-1</v>
      </c>
      <c r="I49" s="14"/>
      <c r="J49" s="14"/>
      <c r="K49" s="14"/>
      <c r="L49" s="14"/>
      <c r="M49" s="14"/>
      <c r="N49" s="14"/>
      <c r="O49" s="14"/>
      <c r="P49" s="14"/>
      <c r="Q49" s="14"/>
      <c r="R49" s="14"/>
      <c r="S49" s="14"/>
      <c r="T49" s="14"/>
      <c r="U49" s="14"/>
      <c r="V49" s="14"/>
      <c r="W49" s="14"/>
      <c r="X49" s="14"/>
      <c r="Y49" s="14"/>
      <c r="Z49" s="14"/>
    </row>
    <row r="50" spans="1:26" ht="37.5">
      <c r="A50" s="93"/>
      <c r="B50" s="93"/>
      <c r="C50" s="93"/>
      <c r="D50" s="93"/>
      <c r="E50" s="93"/>
      <c r="F50" s="35" t="s">
        <v>213</v>
      </c>
      <c r="G50" s="30" t="str">
        <f>HYPERLINK("http://processual.trf1.jus.br/consultaProcessual/arquivo/abrir.php?tipo=fs&amp;nome=9075ecb952a0eb7ee3b2ab9255a6866a.pdf&amp;size=1811190","Sentença")</f>
        <v>Sentença</v>
      </c>
      <c r="H50" s="93"/>
      <c r="I50" s="14"/>
      <c r="J50" s="14"/>
      <c r="K50" s="14"/>
      <c r="L50" s="14"/>
      <c r="M50" s="14"/>
      <c r="N50" s="14"/>
      <c r="O50" s="14"/>
      <c r="P50" s="14"/>
      <c r="Q50" s="14"/>
      <c r="R50" s="14"/>
      <c r="S50" s="14"/>
      <c r="T50" s="14"/>
      <c r="U50" s="14"/>
      <c r="V50" s="14"/>
      <c r="W50" s="14"/>
      <c r="X50" s="14"/>
      <c r="Y50" s="14"/>
      <c r="Z50" s="14"/>
    </row>
    <row r="51" spans="1:26" ht="95.25" customHeight="1">
      <c r="A51" s="94"/>
      <c r="B51" s="94"/>
      <c r="C51" s="94"/>
      <c r="D51" s="94"/>
      <c r="E51" s="94"/>
      <c r="F51" s="36" t="s">
        <v>214</v>
      </c>
      <c r="G51" s="44"/>
      <c r="H51" s="94"/>
      <c r="I51" s="14"/>
      <c r="J51" s="14"/>
      <c r="K51" s="14"/>
      <c r="L51" s="14"/>
      <c r="M51" s="14"/>
      <c r="N51" s="14"/>
      <c r="O51" s="14"/>
      <c r="P51" s="14"/>
      <c r="Q51" s="14"/>
      <c r="R51" s="14"/>
      <c r="S51" s="14"/>
      <c r="T51" s="14"/>
      <c r="U51" s="14"/>
      <c r="V51" s="14"/>
      <c r="W51" s="14"/>
      <c r="X51" s="14"/>
      <c r="Y51" s="14"/>
      <c r="Z51" s="14"/>
    </row>
    <row r="52" spans="1:26" ht="37.5">
      <c r="A52" s="95">
        <v>15</v>
      </c>
      <c r="B52" s="95" t="s">
        <v>215</v>
      </c>
      <c r="C52" s="95" t="s">
        <v>216</v>
      </c>
      <c r="D52" s="95" t="s">
        <v>217</v>
      </c>
      <c r="E52" s="98" t="str">
        <f>HYPERLINK("www.mpf.mp.br/pa/sala-de-imprensa/documentos/2017/caso-belo-monte/0020224-11-2012-4-01.3900/belo_monte_cautelar_condicionantes.pdf/at_download/file","1ª Ação Cautelar Inominada")</f>
        <v>1ª Ação Cautelar Inominada</v>
      </c>
      <c r="F52" s="11" t="s">
        <v>219</v>
      </c>
      <c r="G52" s="12"/>
      <c r="H52" s="98" t="str">
        <f>HYPERLINK("http://processual.trf1.gov.br/consultaProcessual/processo.php?proc=202241120124013900&amp;secao=PA&amp;nome=Norte%20Energia&amp;mostrarBaixados=N","Clique aqui")</f>
        <v>Clique aqui</v>
      </c>
      <c r="I52" s="14"/>
      <c r="J52" s="14"/>
      <c r="K52" s="14"/>
      <c r="L52" s="14"/>
      <c r="M52" s="14"/>
      <c r="N52" s="14"/>
      <c r="O52" s="14"/>
      <c r="P52" s="14"/>
      <c r="Q52" s="14"/>
      <c r="R52" s="14"/>
      <c r="S52" s="14"/>
      <c r="T52" s="14"/>
      <c r="U52" s="14"/>
      <c r="V52" s="14"/>
      <c r="W52" s="14"/>
      <c r="X52" s="14"/>
      <c r="Y52" s="14"/>
      <c r="Z52" s="14"/>
    </row>
    <row r="53" spans="1:26" ht="52.5" customHeight="1">
      <c r="A53" s="94"/>
      <c r="B53" s="94"/>
      <c r="C53" s="94"/>
      <c r="D53" s="94"/>
      <c r="E53" s="94"/>
      <c r="F53" s="20" t="s">
        <v>222</v>
      </c>
      <c r="G53" s="21"/>
      <c r="H53" s="94"/>
      <c r="I53" s="14"/>
      <c r="J53" s="14"/>
      <c r="K53" s="14"/>
      <c r="L53" s="14"/>
      <c r="M53" s="14"/>
      <c r="N53" s="14"/>
      <c r="O53" s="14"/>
      <c r="P53" s="14"/>
      <c r="Q53" s="14"/>
      <c r="R53" s="14"/>
      <c r="S53" s="14"/>
      <c r="T53" s="14"/>
      <c r="U53" s="14"/>
      <c r="V53" s="14"/>
      <c r="W53" s="14"/>
      <c r="X53" s="14"/>
      <c r="Y53" s="14"/>
      <c r="Z53" s="14"/>
    </row>
    <row r="54" spans="1:26" ht="37.5">
      <c r="A54" s="92">
        <v>16</v>
      </c>
      <c r="B54" s="92" t="s">
        <v>223</v>
      </c>
      <c r="C54" s="92" t="s">
        <v>224</v>
      </c>
      <c r="D54" s="92" t="s">
        <v>199</v>
      </c>
      <c r="E54" s="96" t="str">
        <f>HYPERLINK("www.mpf.mp.br/pa/sala-de-imprensa/documentos/2017/caso-belo-monte/0002708-66-2012-4-01.3903/acp-cota-100.pdf/at_download/file","13ª ACP")</f>
        <v>13ª ACP</v>
      </c>
      <c r="F54" s="25" t="s">
        <v>226</v>
      </c>
      <c r="G54" s="26" t="str">
        <f>HYPERLINK("http://processual.trf1.jus.br/consultaProcessual/arquivo/abrir.php?tipo=fs&amp;nome=ffb1ec2b7d1e7223a0f7a90df51dc663.pdf&amp;size=379121","Liminar")</f>
        <v>Liminar</v>
      </c>
      <c r="H54" s="96" t="str">
        <f>HYPERLINK("http://processual.trf1.jus.br/consultaProcessual/processo.php?trf1_captcha_id=5b56c7479a4665938e8a2a2328f9c911&amp;trf1_captcha=49gs&amp;enviar=Pesquisar&amp;proc=00027086620124013903&amp;secao=ATM","Clique aqui")</f>
        <v>Clique aqui</v>
      </c>
      <c r="I54" s="14"/>
      <c r="J54" s="14"/>
      <c r="K54" s="14"/>
      <c r="L54" s="14"/>
      <c r="M54" s="14"/>
      <c r="N54" s="14"/>
      <c r="O54" s="14"/>
      <c r="P54" s="14"/>
      <c r="Q54" s="14"/>
      <c r="R54" s="14"/>
      <c r="S54" s="14"/>
      <c r="T54" s="14"/>
      <c r="U54" s="14"/>
      <c r="V54" s="14"/>
      <c r="W54" s="14"/>
      <c r="X54" s="14"/>
      <c r="Y54" s="14"/>
      <c r="Z54" s="14"/>
    </row>
    <row r="55" spans="1:26" ht="68.25" customHeight="1">
      <c r="A55" s="94"/>
      <c r="B55" s="94"/>
      <c r="C55" s="94"/>
      <c r="D55" s="94"/>
      <c r="E55" s="94"/>
      <c r="F55" s="36" t="s">
        <v>227</v>
      </c>
      <c r="G55" s="33" t="str">
        <f>HYPERLINK("http://processual.trf1.jus.br/consultaProcessual/arquivo/login/index.php?sistema=red&amp;download=1&amp;proc_id=10002910293&amp;cpw=580053903218&amp;secao=ATM&amp;proc=00027086620124013903&amp;desc=Sentença","Sentença")</f>
        <v>Sentença</v>
      </c>
      <c r="H55" s="94"/>
      <c r="I55" s="14"/>
      <c r="J55" s="14"/>
      <c r="K55" s="14"/>
      <c r="L55" s="14"/>
      <c r="M55" s="14"/>
      <c r="N55" s="14"/>
      <c r="O55" s="14"/>
      <c r="P55" s="14"/>
      <c r="Q55" s="14"/>
      <c r="R55" s="14"/>
      <c r="S55" s="14"/>
      <c r="T55" s="14"/>
      <c r="U55" s="14"/>
      <c r="V55" s="14"/>
      <c r="W55" s="14"/>
      <c r="X55" s="14"/>
      <c r="Y55" s="14"/>
      <c r="Z55" s="14"/>
    </row>
    <row r="56" spans="1:26" ht="18.75">
      <c r="A56" s="95">
        <v>17</v>
      </c>
      <c r="B56" s="95" t="s">
        <v>229</v>
      </c>
      <c r="C56" s="95" t="s">
        <v>230</v>
      </c>
      <c r="D56" s="95" t="s">
        <v>231</v>
      </c>
      <c r="E56" s="98" t="str">
        <f>HYPERLINK("www.mpf.mp.br/pa/sala-de-imprensa/documentos/2017/caso-belo-monte/0001755-39-2011-4-01.3903/inicial-acp-0001755-39-2011-4-01-3903.pdf/at_download/file","14ª ACP")</f>
        <v>14ª ACP</v>
      </c>
      <c r="F56" s="11" t="s">
        <v>232</v>
      </c>
      <c r="G56" s="10"/>
      <c r="H56" s="98" t="str">
        <f>HYPERLINK("http://processual.trf1.jus.br/consultaProcessual/processo.php?proc=00017553920114013903&amp;secao=ATM","Clique aqui")</f>
        <v>Clique aqui</v>
      </c>
      <c r="I56" s="14"/>
      <c r="J56" s="14"/>
      <c r="K56" s="14"/>
      <c r="L56" s="14"/>
      <c r="M56" s="14"/>
      <c r="N56" s="14"/>
      <c r="O56" s="14"/>
      <c r="P56" s="14"/>
      <c r="Q56" s="14"/>
      <c r="R56" s="14"/>
      <c r="S56" s="14"/>
      <c r="T56" s="14"/>
      <c r="U56" s="14"/>
      <c r="V56" s="14"/>
      <c r="W56" s="14"/>
      <c r="X56" s="14"/>
      <c r="Y56" s="14"/>
      <c r="Z56" s="14"/>
    </row>
    <row r="57" spans="1:26" ht="51.75" customHeight="1">
      <c r="A57" s="94"/>
      <c r="B57" s="94"/>
      <c r="C57" s="94"/>
      <c r="D57" s="94"/>
      <c r="E57" s="94"/>
      <c r="F57" s="20" t="s">
        <v>236</v>
      </c>
      <c r="G57" s="70" t="str">
        <f>HYPERLINK("http://processual.trf1.jus.br/consultaProcessual/arquivo/login/index.php?sistema=red&amp;download=1&amp;proc_id=10001780244&amp;cpw=387093903248&amp;secao=ATM&amp;proc=00017553920114013903&amp;desc=Sentença","Sentença")</f>
        <v>Sentença</v>
      </c>
      <c r="H57" s="94"/>
      <c r="I57" s="14"/>
      <c r="J57" s="14"/>
      <c r="K57" s="14"/>
      <c r="L57" s="14"/>
      <c r="M57" s="14"/>
      <c r="N57" s="14"/>
      <c r="O57" s="14"/>
      <c r="P57" s="14"/>
      <c r="Q57" s="14"/>
      <c r="R57" s="14"/>
      <c r="S57" s="14"/>
      <c r="T57" s="14"/>
      <c r="U57" s="14"/>
      <c r="V57" s="14"/>
      <c r="W57" s="14"/>
      <c r="X57" s="14"/>
      <c r="Y57" s="14"/>
      <c r="Z57" s="14"/>
    </row>
    <row r="58" spans="1:26" ht="37.5">
      <c r="A58" s="92">
        <v>18</v>
      </c>
      <c r="B58" s="92" t="s">
        <v>239</v>
      </c>
      <c r="C58" s="92" t="s">
        <v>240</v>
      </c>
      <c r="D58" s="92" t="s">
        <v>199</v>
      </c>
      <c r="E58" s="96" t="str">
        <f>HYPERLINK("www.mpf.mp.br/pa/sala-de-imprensa/documentos/2017/caso-belo-monte/0001755-39-2011-4-01.3903/inicial-acp-0001755-39-2011-4-01-3903.pdf/at_download/file","15ª ACP")</f>
        <v>15ª ACP</v>
      </c>
      <c r="F58" s="25" t="s">
        <v>242</v>
      </c>
      <c r="G58" s="26" t="str">
        <f>HYPERLINK("http://processual.trf1.jus.br/consultaProcessual/arquivo/abrir.php?tipo=fs&amp;nome=8c50071e208bb225b444273424c0894d.pdf&amp;size=780656","Liminar")</f>
        <v>Liminar</v>
      </c>
      <c r="H58" s="96" t="str">
        <f>HYPERLINK("http://processual.trf1.jus.br/consultaProcessual/processo.php?proc=3283620134013903&amp;secao=PA&amp;nome=NORTE%20ENERGIA%20S/A&amp;mostrarBaixados=N","Clique aqui")</f>
        <v>Clique aqui</v>
      </c>
      <c r="I58" s="14"/>
      <c r="J58" s="14"/>
      <c r="K58" s="14"/>
      <c r="L58" s="14"/>
      <c r="M58" s="14"/>
      <c r="N58" s="14"/>
      <c r="O58" s="14"/>
      <c r="P58" s="14"/>
      <c r="Q58" s="14"/>
      <c r="R58" s="14"/>
      <c r="S58" s="14"/>
      <c r="T58" s="14"/>
      <c r="U58" s="14"/>
      <c r="V58" s="14"/>
      <c r="W58" s="14"/>
      <c r="X58" s="14"/>
      <c r="Y58" s="14"/>
      <c r="Z58" s="14"/>
    </row>
    <row r="59" spans="1:26" ht="162.75" customHeight="1">
      <c r="A59" s="94"/>
      <c r="B59" s="94"/>
      <c r="C59" s="94"/>
      <c r="D59" s="94"/>
      <c r="E59" s="94"/>
      <c r="F59" s="36" t="s">
        <v>244</v>
      </c>
      <c r="G59" s="33" t="str">
        <f>HYPERLINK("http://processual.trf1.jus.br/consultaProcessual/arquivo/abrir.php?tipo=fs&amp;nome=e9bfbb2eec7986747cf1f1b8c1b9ec78.pdf&amp;size=10931881","Sentença")</f>
        <v>Sentença</v>
      </c>
      <c r="H59" s="94"/>
      <c r="I59" s="14"/>
      <c r="J59" s="14"/>
      <c r="K59" s="14"/>
      <c r="L59" s="14"/>
      <c r="M59" s="14"/>
      <c r="N59" s="14"/>
      <c r="O59" s="14"/>
      <c r="P59" s="14"/>
      <c r="Q59" s="14"/>
      <c r="R59" s="14"/>
      <c r="S59" s="14"/>
      <c r="T59" s="14"/>
      <c r="U59" s="14"/>
      <c r="V59" s="14"/>
      <c r="W59" s="14"/>
      <c r="X59" s="14"/>
      <c r="Y59" s="14"/>
      <c r="Z59" s="14"/>
    </row>
    <row r="60" spans="1:26" ht="37.5">
      <c r="A60" s="95">
        <v>19</v>
      </c>
      <c r="B60" s="95" t="s">
        <v>246</v>
      </c>
      <c r="C60" s="95" t="s">
        <v>247</v>
      </c>
      <c r="D60" s="95" t="s">
        <v>248</v>
      </c>
      <c r="E60" s="98" t="str">
        <f>HYPERLINK("www.mpf.mp.br/pa/sala-de-imprensa/documentos/2017/caso-belo-monte/655-78-2013-4-01.3903/acao_unidades_protecao_territorial_indigenas_medio_xingu_belo_monte.pdf/at_download/file","16ª ACP")</f>
        <v>16ª ACP</v>
      </c>
      <c r="F60" s="53" t="s">
        <v>251</v>
      </c>
      <c r="G60" s="67" t="str">
        <f>HYPERLINK("http://processual.trf1.jus.br/consultaProcessual/arquivo/abrir.php?tipo=fs&amp;nome=33fcdfab2f4285ab0e3f1ab99205700a.pdf&amp;size=1008179","Liminar")</f>
        <v>Liminar</v>
      </c>
      <c r="H60" s="98" t="str">
        <f>HYPERLINK("http://processual.trf1.jus.br/consultaProcessual/processo.php?secao=PA&amp;proc=655-78.2013.4.01.3903","Clique aqui")</f>
        <v>Clique aqui</v>
      </c>
      <c r="I60" s="14"/>
      <c r="J60" s="14"/>
      <c r="K60" s="14"/>
      <c r="L60" s="14"/>
      <c r="M60" s="14"/>
      <c r="N60" s="14"/>
      <c r="O60" s="14"/>
      <c r="P60" s="14"/>
      <c r="Q60" s="14"/>
      <c r="R60" s="14"/>
      <c r="S60" s="14"/>
      <c r="T60" s="14"/>
      <c r="U60" s="14"/>
      <c r="V60" s="14"/>
      <c r="W60" s="14"/>
      <c r="X60" s="14"/>
      <c r="Y60" s="14"/>
      <c r="Z60" s="14"/>
    </row>
    <row r="61" spans="1:26" ht="37.5">
      <c r="A61" s="94"/>
      <c r="B61" s="94"/>
      <c r="C61" s="93"/>
      <c r="D61" s="94"/>
      <c r="E61" s="94"/>
      <c r="F61" s="74" t="s">
        <v>254</v>
      </c>
      <c r="G61" s="76" t="str">
        <f>HYPERLINK("http://processual.trf1.jus.br/consultaProcessual/arquivo/abrir.php?tipo=fs&amp;nome=7bfd22bcf588b1060713795d08fe2ed1.pdf&amp;size=12763944","Sentença")</f>
        <v>Sentença</v>
      </c>
      <c r="H61" s="94"/>
      <c r="I61" s="55"/>
      <c r="J61" s="55"/>
      <c r="K61" s="55"/>
      <c r="L61" s="55"/>
      <c r="M61" s="55"/>
      <c r="N61" s="55"/>
      <c r="O61" s="55"/>
      <c r="P61" s="55"/>
      <c r="Q61" s="55"/>
      <c r="R61" s="55"/>
      <c r="S61" s="55"/>
      <c r="T61" s="55"/>
      <c r="U61" s="55"/>
      <c r="V61" s="55"/>
      <c r="W61" s="55"/>
      <c r="X61" s="55"/>
      <c r="Y61" s="55"/>
      <c r="Z61" s="55"/>
    </row>
    <row r="62" spans="1:26" ht="150">
      <c r="A62" s="51">
        <v>20</v>
      </c>
      <c r="B62" s="51" t="s">
        <v>256</v>
      </c>
      <c r="C62" s="51" t="s">
        <v>257</v>
      </c>
      <c r="D62" s="51" t="s">
        <v>199</v>
      </c>
      <c r="E62" s="41" t="str">
        <f>HYPERLINK("www.mpf.mp.br/pa/sala-de-imprensa/documentos/2017/caso-belo-monte/1655-16-2013-4-01.3903/acp_belo_monte_jurunas_km17.pdf/at_download/file","17ª ACP")</f>
        <v>17ª ACP</v>
      </c>
      <c r="F62" s="51" t="s">
        <v>258</v>
      </c>
      <c r="G62" s="41" t="str">
        <f>HYPERLINK("http://processual.trf1.jus.br/consultaProcessual/arquivo/abrir.php?tipo=fs&amp;nome=8957c94eba89104ce3186809c8ce8524.pdf&amp;size=2178562","Liminar")</f>
        <v>Liminar</v>
      </c>
      <c r="H62" s="41" t="str">
        <f>HYPERLINK("http://processual.trf1.jus.br/consultaProcessual/processo.php?secao=ATM&amp;proc=16551620134013903","Clique aqui")</f>
        <v>Clique aqui</v>
      </c>
      <c r="I62" s="14"/>
      <c r="J62" s="14"/>
      <c r="K62" s="14"/>
      <c r="L62" s="14"/>
      <c r="M62" s="14"/>
      <c r="N62" s="14"/>
      <c r="O62" s="14"/>
      <c r="P62" s="14"/>
      <c r="Q62" s="14"/>
      <c r="R62" s="14"/>
      <c r="S62" s="14"/>
      <c r="T62" s="14"/>
      <c r="U62" s="14"/>
      <c r="V62" s="14"/>
      <c r="W62" s="14"/>
      <c r="X62" s="14"/>
      <c r="Y62" s="14"/>
      <c r="Z62" s="14"/>
    </row>
    <row r="63" spans="1:26" ht="37.5">
      <c r="A63" s="95">
        <v>21</v>
      </c>
      <c r="B63" s="95" t="s">
        <v>260</v>
      </c>
      <c r="C63" s="95" t="s">
        <v>261</v>
      </c>
      <c r="D63" s="95" t="s">
        <v>262</v>
      </c>
      <c r="E63" s="13" t="str">
        <f>HYPERLINK("www.mpf.mp.br/pa/sala-de-imprensa/documentos/2017/caso-belo-monte/25799-63-2013-4-01.3900/acp_xikrin.pdf/at_download/file","18ª ACP")</f>
        <v>18ª ACP</v>
      </c>
      <c r="F63" s="11" t="s">
        <v>263</v>
      </c>
      <c r="G63" s="13" t="str">
        <f>HYPERLINK("http://processual.trf1.jus.br/consultaProcessual/arquivo/abrir.php?tipo=fs&amp;nome=44c5f36a89a622875891c14101323893.pdf&amp;size=177134","Sentença")</f>
        <v>Sentença</v>
      </c>
      <c r="H63" s="98" t="str">
        <f>HYPERLINK("http://processual.trf1.jus.br/consultaProcessual/processo.php?proc=00257996320134013900&amp;secao=TRF1&amp;pg=1&amp;enviar=Pesquisar","Clique aqui")</f>
        <v>Clique aqui</v>
      </c>
      <c r="I63" s="14"/>
      <c r="J63" s="14"/>
      <c r="K63" s="14"/>
      <c r="L63" s="14"/>
      <c r="M63" s="14"/>
      <c r="N63" s="14"/>
      <c r="O63" s="14"/>
      <c r="P63" s="14"/>
      <c r="Q63" s="14"/>
      <c r="R63" s="14"/>
      <c r="S63" s="14"/>
      <c r="T63" s="14"/>
      <c r="U63" s="14"/>
      <c r="V63" s="14"/>
      <c r="W63" s="14"/>
      <c r="X63" s="14"/>
      <c r="Y63" s="14"/>
      <c r="Z63" s="14"/>
    </row>
    <row r="64" spans="1:26" ht="150.75" customHeight="1">
      <c r="A64" s="94"/>
      <c r="B64" s="94"/>
      <c r="C64" s="94"/>
      <c r="D64" s="94"/>
      <c r="E64" s="20"/>
      <c r="F64" s="20" t="s">
        <v>267</v>
      </c>
      <c r="G64" s="21"/>
      <c r="H64" s="94"/>
      <c r="I64" s="14"/>
      <c r="J64" s="14"/>
      <c r="K64" s="14"/>
      <c r="L64" s="14"/>
      <c r="M64" s="14"/>
      <c r="N64" s="14"/>
      <c r="O64" s="14"/>
      <c r="P64" s="14"/>
      <c r="Q64" s="14"/>
      <c r="R64" s="14"/>
      <c r="S64" s="14"/>
      <c r="T64" s="14"/>
      <c r="U64" s="14"/>
      <c r="V64" s="14"/>
      <c r="W64" s="14"/>
      <c r="X64" s="14"/>
      <c r="Y64" s="14"/>
      <c r="Z64" s="14"/>
    </row>
    <row r="65" spans="1:26" ht="112.5">
      <c r="A65" s="92">
        <v>22</v>
      </c>
      <c r="B65" s="92" t="s">
        <v>269</v>
      </c>
      <c r="C65" s="92" t="s">
        <v>271</v>
      </c>
      <c r="D65" s="92" t="s">
        <v>217</v>
      </c>
      <c r="E65" s="96" t="str">
        <f>HYPERLINK("www.mpf.mp.br/pa/sala-de-imprensa/documentos/2017/caso-belo-monte/2464-06-2013-4-01.3903/acp-belo-monte-reassentamento.pdf/at_download/file","19ª ACP")</f>
        <v>19ª ACP</v>
      </c>
      <c r="F65" s="51" t="s">
        <v>272</v>
      </c>
      <c r="G65" s="41" t="str">
        <f>HYPERLINK("http://processual.trf1.jus.br/consultaProcessual/arquivo/abrir.php?tipo=fs&amp;nome=6037bbd19930e2ff352278ea751409d0.pdf&amp;size=2255904","Liminar")</f>
        <v>Liminar</v>
      </c>
      <c r="H65" s="41" t="str">
        <f>HYPERLINK("http://processual.trf1.jus.br/consultaProcessual/processo.php?proc=00024640620134013903&amp;secao=ATM&amp;pg=1&amp;enviar=Pesquisar","Clique aqui")</f>
        <v>Clique aqui</v>
      </c>
      <c r="I65" s="14"/>
      <c r="J65" s="14"/>
      <c r="K65" s="14"/>
      <c r="L65" s="14"/>
      <c r="M65" s="14"/>
      <c r="N65" s="14"/>
      <c r="O65" s="14"/>
      <c r="P65" s="14"/>
      <c r="Q65" s="14"/>
      <c r="R65" s="14"/>
      <c r="S65" s="14"/>
      <c r="T65" s="14"/>
      <c r="U65" s="14"/>
      <c r="V65" s="14"/>
      <c r="W65" s="14"/>
      <c r="X65" s="14"/>
      <c r="Y65" s="14"/>
      <c r="Z65" s="14"/>
    </row>
    <row r="66" spans="1:26" ht="18.75">
      <c r="A66" s="94"/>
      <c r="B66" s="94"/>
      <c r="C66" s="94"/>
      <c r="D66" s="94"/>
      <c r="E66" s="94"/>
      <c r="F66" s="23"/>
      <c r="G66" s="78"/>
      <c r="H66" s="72"/>
      <c r="I66" s="14"/>
      <c r="J66" s="14"/>
      <c r="K66" s="14"/>
      <c r="L66" s="14"/>
      <c r="M66" s="14"/>
      <c r="N66" s="14"/>
      <c r="O66" s="14"/>
      <c r="P66" s="14"/>
      <c r="Q66" s="14"/>
      <c r="R66" s="14"/>
      <c r="S66" s="14"/>
      <c r="T66" s="14"/>
      <c r="U66" s="14"/>
      <c r="V66" s="14"/>
      <c r="W66" s="14"/>
      <c r="X66" s="14"/>
      <c r="Y66" s="14"/>
      <c r="Z66" s="14"/>
    </row>
    <row r="67" spans="1:26" ht="37.5">
      <c r="A67" s="95">
        <v>21</v>
      </c>
      <c r="B67" s="95" t="s">
        <v>275</v>
      </c>
      <c r="C67" s="95" t="s">
        <v>277</v>
      </c>
      <c r="D67" s="95" t="s">
        <v>279</v>
      </c>
      <c r="E67" s="98" t="str">
        <f>HYPERLINK("www.mpf.mp.br/pa/sala-de-imprensa/documentos/2017/caso-belo-monte/2694-14-2014-4-01.3903/acp_belo_monte_reestruturacao_funai.pdf/at_download/file","20ª ACP")</f>
        <v>20ª ACP</v>
      </c>
      <c r="F67" s="11" t="s">
        <v>282</v>
      </c>
      <c r="G67" s="13" t="str">
        <f>HYPERLINK("http://processual.trf1.jus.br/consultaProcessual/arquivo/abrir.php?tipo=fs&amp;nome=c48204f126f2532def54c84ad74d4048.pdf&amp;size=3447989","Liminar")</f>
        <v>Liminar</v>
      </c>
      <c r="H67" s="98" t="str">
        <f>HYPERLINK("http://processual.trf1.jus.br/consultaProcessual/processo.php?trf1_captcha_id=5fdd9e03776b7ff18cdbe6df516ff2a9&amp;trf1_captcha=sn3x&amp;enviar=Pesquisar&amp;proc=00026941420144013903&amp;secao=ATM","Clique aqui")</f>
        <v>Clique aqui</v>
      </c>
      <c r="I67" s="14"/>
      <c r="J67" s="14"/>
      <c r="K67" s="14"/>
      <c r="L67" s="14"/>
      <c r="M67" s="14"/>
      <c r="N67" s="14"/>
      <c r="O67" s="14"/>
      <c r="P67" s="14"/>
      <c r="Q67" s="14"/>
      <c r="R67" s="14"/>
      <c r="S67" s="14"/>
      <c r="T67" s="14"/>
      <c r="U67" s="14"/>
      <c r="V67" s="14"/>
      <c r="W67" s="14"/>
      <c r="X67" s="14"/>
      <c r="Y67" s="14"/>
      <c r="Z67" s="14"/>
    </row>
    <row r="68" spans="1:26" ht="66.75" customHeight="1">
      <c r="A68" s="93"/>
      <c r="B68" s="93"/>
      <c r="C68" s="93"/>
      <c r="D68" s="93"/>
      <c r="E68" s="93"/>
      <c r="F68" s="20" t="s">
        <v>284</v>
      </c>
      <c r="G68" s="50" t="str">
        <f>HYPERLINK("http://processual.trf1.jus.br/consultaProcessual/arquivo/abrir.php?tipo=fs&amp;nome=f4c77afd537ea653a6629b9962099974.pdf&amp;size=2032331","Liminar")</f>
        <v>Liminar</v>
      </c>
      <c r="H68" s="94"/>
      <c r="I68" s="14"/>
      <c r="J68" s="14"/>
      <c r="K68" s="14"/>
      <c r="L68" s="14"/>
      <c r="M68" s="14"/>
      <c r="N68" s="14"/>
      <c r="O68" s="14"/>
      <c r="P68" s="14"/>
      <c r="Q68" s="14"/>
      <c r="R68" s="14"/>
      <c r="S68" s="14"/>
      <c r="T68" s="14"/>
      <c r="U68" s="14"/>
      <c r="V68" s="14"/>
      <c r="W68" s="14"/>
      <c r="X68" s="14"/>
      <c r="Y68" s="14"/>
      <c r="Z68" s="14"/>
    </row>
    <row r="69" spans="1:26" ht="18.75">
      <c r="A69" s="94"/>
      <c r="B69" s="94"/>
      <c r="C69" s="94"/>
      <c r="D69" s="94"/>
      <c r="E69" s="94"/>
      <c r="F69" s="18" t="s">
        <v>285</v>
      </c>
      <c r="G69" s="81" t="str">
        <f>HYPERLINK("http://www.mpf.mp.br/pa/sala-de-imprensa/documentos/2016/suspensao-de-seguranca-liminar-reestruturacao-funai.pdf/view","Suspensão")</f>
        <v>Suspensão</v>
      </c>
      <c r="H69" s="69"/>
      <c r="I69" s="14"/>
      <c r="J69" s="14"/>
      <c r="K69" s="14"/>
      <c r="L69" s="14"/>
      <c r="M69" s="14"/>
      <c r="N69" s="14"/>
      <c r="O69" s="14"/>
      <c r="P69" s="14"/>
      <c r="Q69" s="14"/>
      <c r="R69" s="14"/>
      <c r="S69" s="14"/>
      <c r="T69" s="14"/>
      <c r="U69" s="14"/>
      <c r="V69" s="14"/>
      <c r="W69" s="14"/>
      <c r="X69" s="14"/>
      <c r="Y69" s="14"/>
      <c r="Z69" s="14"/>
    </row>
    <row r="70" spans="1:26" ht="75">
      <c r="A70" s="51">
        <v>22</v>
      </c>
      <c r="B70" s="51" t="s">
        <v>286</v>
      </c>
      <c r="C70" s="51" t="s">
        <v>288</v>
      </c>
      <c r="D70" s="51" t="s">
        <v>289</v>
      </c>
      <c r="E70" s="41" t="str">
        <f>HYPERLINK("www.mpf.mp.br/pa/sala-de-imprensa/documentos/2017/caso-belo-monte/3017-82-2015-4-01.3903-1/acp_belo_monte_componente_indigena_2.pdf/at_download/file","21ª ACP")</f>
        <v>21ª ACP</v>
      </c>
      <c r="F70" s="51" t="s">
        <v>290</v>
      </c>
      <c r="G70" s="83"/>
      <c r="H70" s="41" t="str">
        <f>HYPERLINK("http://processual.trf1.jus.br/consultaProcessual/processo.php?proc=30178220154013903&amp;secao=ATM&amp;nome=NORTE%20ENERGIA%20S.A&amp;mostrarBaixados=N","Clique aqui")</f>
        <v>Clique aqui</v>
      </c>
      <c r="I70" s="14"/>
      <c r="J70" s="14"/>
      <c r="K70" s="14"/>
      <c r="L70" s="14"/>
      <c r="M70" s="14"/>
      <c r="N70" s="14"/>
      <c r="O70" s="14"/>
      <c r="P70" s="14"/>
      <c r="Q70" s="14"/>
      <c r="R70" s="14"/>
      <c r="S70" s="14"/>
      <c r="T70" s="14"/>
      <c r="U70" s="14"/>
      <c r="V70" s="14"/>
      <c r="W70" s="14"/>
      <c r="X70" s="14"/>
      <c r="Y70" s="14"/>
      <c r="Z70" s="14"/>
    </row>
    <row r="71" spans="1:26" ht="37.5">
      <c r="A71" s="95">
        <v>23</v>
      </c>
      <c r="B71" s="95" t="s">
        <v>291</v>
      </c>
      <c r="C71" s="95" t="s">
        <v>292</v>
      </c>
      <c r="D71" s="95" t="s">
        <v>293</v>
      </c>
      <c r="E71" s="98" t="str">
        <f>HYPERLINK("www.mpf.mp.br/pa/sala-de-imprensa/documentos/2017/caso-belo-monte/269-43-2016-4-01.3903/269-43-2016-4-01-3903-acp-saneamento-em-altamira.pdf/at_download/file","22ª ACP")</f>
        <v>22ª ACP</v>
      </c>
      <c r="F71" s="74" t="s">
        <v>294</v>
      </c>
      <c r="G71" s="86"/>
      <c r="H71" s="76" t="str">
        <f>HYPERLINK("http://processual.trf1.jus.br/consultaProcessual/processo.php?trf1_captcha_id=f9f875ccfe07d6f05c9514cb4ca93bac&amp;trf1_captcha=gsxp&amp;enviar=Pesquisar&amp;proc=2694320164013903&amp;secao=ATM","Clique aqui")</f>
        <v>Clique aqui</v>
      </c>
      <c r="I71" s="14"/>
      <c r="J71" s="14"/>
      <c r="K71" s="14"/>
      <c r="L71" s="14"/>
      <c r="M71" s="14"/>
      <c r="N71" s="14"/>
      <c r="O71" s="14"/>
      <c r="P71" s="14"/>
      <c r="Q71" s="14"/>
      <c r="R71" s="14"/>
      <c r="S71" s="14"/>
      <c r="T71" s="14"/>
      <c r="U71" s="14"/>
      <c r="V71" s="14"/>
      <c r="W71" s="14"/>
      <c r="X71" s="14"/>
      <c r="Y71" s="14"/>
      <c r="Z71" s="14"/>
    </row>
    <row r="72" spans="1:26" ht="18.75">
      <c r="A72" s="93"/>
      <c r="B72" s="93"/>
      <c r="C72" s="93"/>
      <c r="D72" s="93"/>
      <c r="E72" s="93"/>
      <c r="F72" s="74" t="s">
        <v>301</v>
      </c>
      <c r="G72" s="76" t="str">
        <f>HYPERLINK("http://processual.trf1.jus.br/consultaProcessual/arquivo/abrir.php?tipo=fs&amp;nome=448f0bd47bd4b1f84160c9d66b4b35ba.pdf&amp;size=84811","Suspensão")</f>
        <v>Suspensão</v>
      </c>
      <c r="H72" s="76" t="str">
        <f>HYPERLINK("http://processual.trf1.jus.br/consultaProcessual/processo.php?secao=TRF1&amp;opTrf=proc&amp;proc=00532987720164010000&amp;enviar=Ok","Clique aqui")</f>
        <v>Clique aqui</v>
      </c>
      <c r="I72" s="14"/>
      <c r="J72" s="14"/>
      <c r="K72" s="14"/>
      <c r="L72" s="14"/>
      <c r="M72" s="14"/>
      <c r="N72" s="14"/>
      <c r="O72" s="14"/>
      <c r="P72" s="14"/>
      <c r="Q72" s="14"/>
      <c r="R72" s="14"/>
      <c r="S72" s="14"/>
      <c r="T72" s="14"/>
      <c r="U72" s="14"/>
      <c r="V72" s="14"/>
      <c r="W72" s="14"/>
      <c r="X72" s="14"/>
      <c r="Y72" s="14"/>
      <c r="Z72" s="14"/>
    </row>
    <row r="73" spans="1:26" ht="37.5">
      <c r="A73" s="94"/>
      <c r="B73" s="94"/>
      <c r="C73" s="94"/>
      <c r="D73" s="94"/>
      <c r="E73" s="94"/>
      <c r="F73" s="74" t="s">
        <v>306</v>
      </c>
      <c r="G73" s="76" t="str">
        <f>HYPERLINK("www.mpf.mp.br/pa/sala-de-imprensa/documentos/2017/caso-belo-monte/269-43-2016-4-01.3903/ementajulgamento.pdf/at_download/file","Ementa")</f>
        <v>Ementa</v>
      </c>
      <c r="H73" s="69"/>
      <c r="I73" s="14"/>
      <c r="J73" s="14"/>
      <c r="K73" s="14"/>
      <c r="L73" s="14"/>
      <c r="M73" s="14"/>
      <c r="N73" s="14"/>
      <c r="O73" s="14"/>
      <c r="P73" s="14"/>
      <c r="Q73" s="14"/>
      <c r="R73" s="14"/>
      <c r="S73" s="14"/>
      <c r="T73" s="14"/>
      <c r="U73" s="14"/>
      <c r="V73" s="14"/>
      <c r="W73" s="14"/>
      <c r="X73" s="14"/>
      <c r="Y73" s="14"/>
      <c r="Z73" s="14"/>
    </row>
    <row r="74" spans="1:26" ht="75">
      <c r="A74" s="51">
        <v>24</v>
      </c>
      <c r="B74" s="51" t="s">
        <v>307</v>
      </c>
      <c r="C74" s="51" t="s">
        <v>308</v>
      </c>
      <c r="D74" s="51" t="s">
        <v>309</v>
      </c>
      <c r="E74" s="41" t="str">
        <f>HYPERLINK("www.mpf.mp.br/pa/sala-de-imprensa/documentos/2017/caso-belo-monte/466-95-2016-401.3903/acp_compensacao-ambiental_belo-monte_versaofinal.pdf/at_download/file","23ª ACP")</f>
        <v>23ª ACP</v>
      </c>
      <c r="F74" s="51" t="s">
        <v>310</v>
      </c>
      <c r="G74" s="41" t="str">
        <f>HYPERLINK("http://www.mpf.mp.br/pa/sala-de-imprensa/documentos/2016/liminar-belo-monte-compensacao-ambiental.pdf","Liminar")</f>
        <v>Liminar</v>
      </c>
      <c r="H74" s="41" t="str">
        <f>HYPERLINK("http://processual.trf1.jus.br/consultaProcessual/processo.php?proc=4669520164013903&amp;secao=ATM&amp;pg=1&amp;enviar=Pesquisar","Clique aqui")</f>
        <v>Clique aqui</v>
      </c>
      <c r="I74" s="14"/>
      <c r="J74" s="14"/>
      <c r="K74" s="14"/>
      <c r="L74" s="14"/>
      <c r="M74" s="14"/>
      <c r="N74" s="14"/>
      <c r="O74" s="14"/>
      <c r="P74" s="14"/>
      <c r="Q74" s="14"/>
      <c r="R74" s="14"/>
      <c r="S74" s="14"/>
      <c r="T74" s="14"/>
      <c r="U74" s="14"/>
      <c r="V74" s="14"/>
      <c r="W74" s="14"/>
      <c r="X74" s="14"/>
      <c r="Y74" s="14"/>
      <c r="Z74" s="14"/>
    </row>
    <row r="75" spans="1:26" ht="18.75">
      <c r="A75" s="14"/>
      <c r="B75" s="14"/>
      <c r="C75" s="14"/>
      <c r="D75" s="14"/>
      <c r="E75" s="90"/>
      <c r="F75" s="14"/>
      <c r="G75" s="14"/>
      <c r="H75" s="90"/>
      <c r="I75" s="14"/>
      <c r="J75" s="14"/>
      <c r="K75" s="14"/>
      <c r="L75" s="14"/>
      <c r="M75" s="14"/>
      <c r="N75" s="14"/>
      <c r="O75" s="14"/>
      <c r="P75" s="14"/>
      <c r="Q75" s="14"/>
      <c r="R75" s="14"/>
      <c r="S75" s="14"/>
      <c r="T75" s="14"/>
      <c r="U75" s="14"/>
      <c r="V75" s="14"/>
      <c r="W75" s="14"/>
      <c r="X75" s="14"/>
      <c r="Y75" s="14"/>
      <c r="Z75" s="14"/>
    </row>
    <row r="76" spans="1:26" ht="18.75">
      <c r="A76" s="14"/>
      <c r="B76" s="14"/>
      <c r="C76" s="14"/>
      <c r="D76" s="14"/>
      <c r="E76" s="90"/>
      <c r="F76" s="14"/>
      <c r="G76" s="14"/>
      <c r="H76" s="90"/>
      <c r="I76" s="14"/>
      <c r="J76" s="14"/>
      <c r="K76" s="14"/>
      <c r="L76" s="14"/>
      <c r="M76" s="14"/>
      <c r="N76" s="14"/>
      <c r="O76" s="14"/>
      <c r="P76" s="14"/>
      <c r="Q76" s="14"/>
      <c r="R76" s="14"/>
      <c r="S76" s="14"/>
      <c r="T76" s="14"/>
      <c r="U76" s="14"/>
      <c r="V76" s="14"/>
      <c r="W76" s="14"/>
      <c r="X76" s="14"/>
      <c r="Y76" s="14"/>
      <c r="Z76" s="14"/>
    </row>
    <row r="77" spans="1:26" ht="18.75">
      <c r="A77" s="14"/>
      <c r="B77" s="14"/>
      <c r="C77" s="14"/>
      <c r="D77" s="14"/>
      <c r="E77" s="90"/>
      <c r="F77" s="14"/>
      <c r="G77" s="14"/>
      <c r="H77" s="90"/>
      <c r="I77" s="14"/>
      <c r="J77" s="14"/>
      <c r="K77" s="14"/>
      <c r="L77" s="14"/>
      <c r="M77" s="14"/>
      <c r="N77" s="14"/>
      <c r="O77" s="14"/>
      <c r="P77" s="14"/>
      <c r="Q77" s="14"/>
      <c r="R77" s="14"/>
      <c r="S77" s="14"/>
      <c r="T77" s="14"/>
      <c r="U77" s="14"/>
      <c r="V77" s="14"/>
      <c r="W77" s="14"/>
      <c r="X77" s="14"/>
      <c r="Y77" s="14"/>
      <c r="Z77" s="14"/>
    </row>
    <row r="78" spans="1:26" ht="18.75">
      <c r="A78" s="14"/>
      <c r="B78" s="14"/>
      <c r="C78" s="14"/>
      <c r="D78" s="14"/>
      <c r="E78" s="90"/>
      <c r="F78" s="14"/>
      <c r="G78" s="14"/>
      <c r="H78" s="90"/>
      <c r="I78" s="14"/>
      <c r="J78" s="14"/>
      <c r="K78" s="14"/>
      <c r="L78" s="14"/>
      <c r="M78" s="14"/>
      <c r="N78" s="14"/>
      <c r="O78" s="14"/>
      <c r="P78" s="14"/>
      <c r="Q78" s="14"/>
      <c r="R78" s="14"/>
      <c r="S78" s="14"/>
      <c r="T78" s="14"/>
      <c r="U78" s="14"/>
      <c r="V78" s="14"/>
      <c r="W78" s="14"/>
      <c r="X78" s="14"/>
      <c r="Y78" s="14"/>
      <c r="Z78" s="14"/>
    </row>
    <row r="79" spans="1:26" ht="18.75">
      <c r="A79" s="14"/>
      <c r="B79" s="14"/>
      <c r="C79" s="14"/>
      <c r="D79" s="14"/>
      <c r="E79" s="90"/>
      <c r="F79" s="14"/>
      <c r="G79" s="14"/>
      <c r="H79" s="90"/>
      <c r="I79" s="14"/>
      <c r="J79" s="14"/>
      <c r="K79" s="14"/>
      <c r="L79" s="14"/>
      <c r="M79" s="14"/>
      <c r="N79" s="14"/>
      <c r="O79" s="14"/>
      <c r="P79" s="14"/>
      <c r="Q79" s="14"/>
      <c r="R79" s="14"/>
      <c r="S79" s="14"/>
      <c r="T79" s="14"/>
      <c r="U79" s="14"/>
      <c r="V79" s="14"/>
      <c r="W79" s="14"/>
      <c r="X79" s="14"/>
      <c r="Y79" s="14"/>
      <c r="Z79" s="14"/>
    </row>
    <row r="80" spans="1:26" ht="18.75">
      <c r="A80" s="14"/>
      <c r="B80" s="14"/>
      <c r="C80" s="14"/>
      <c r="D80" s="14"/>
      <c r="E80" s="90"/>
      <c r="F80" s="14"/>
      <c r="G80" s="14"/>
      <c r="H80" s="90"/>
      <c r="I80" s="14"/>
      <c r="J80" s="14"/>
      <c r="K80" s="14"/>
      <c r="L80" s="14"/>
      <c r="M80" s="14"/>
      <c r="N80" s="14"/>
      <c r="O80" s="14"/>
      <c r="P80" s="14"/>
      <c r="Q80" s="14"/>
      <c r="R80" s="14"/>
      <c r="S80" s="14"/>
      <c r="T80" s="14"/>
      <c r="U80" s="14"/>
      <c r="V80" s="14"/>
      <c r="W80" s="14"/>
      <c r="X80" s="14"/>
      <c r="Y80" s="14"/>
      <c r="Z80" s="14"/>
    </row>
    <row r="81" spans="1:26" ht="18.75">
      <c r="A81" s="14"/>
      <c r="B81" s="14"/>
      <c r="C81" s="14"/>
      <c r="D81" s="14"/>
      <c r="E81" s="90"/>
      <c r="F81" s="14"/>
      <c r="G81" s="14"/>
      <c r="H81" s="90"/>
      <c r="I81" s="14"/>
      <c r="J81" s="14"/>
      <c r="K81" s="14"/>
      <c r="L81" s="14"/>
      <c r="M81" s="14"/>
      <c r="N81" s="14"/>
      <c r="O81" s="14"/>
      <c r="P81" s="14"/>
      <c r="Q81" s="14"/>
      <c r="R81" s="14"/>
      <c r="S81" s="14"/>
      <c r="T81" s="14"/>
      <c r="U81" s="14"/>
      <c r="V81" s="14"/>
      <c r="W81" s="14"/>
      <c r="X81" s="14"/>
      <c r="Y81" s="14"/>
      <c r="Z81" s="14"/>
    </row>
    <row r="82" spans="1:26" ht="18.75">
      <c r="A82" s="14"/>
      <c r="B82" s="14"/>
      <c r="C82" s="14"/>
      <c r="D82" s="14"/>
      <c r="E82" s="90"/>
      <c r="F82" s="14"/>
      <c r="G82" s="14"/>
      <c r="H82" s="90"/>
      <c r="I82" s="14"/>
      <c r="J82" s="14"/>
      <c r="K82" s="14"/>
      <c r="L82" s="14"/>
      <c r="M82" s="14"/>
      <c r="N82" s="14"/>
      <c r="O82" s="14"/>
      <c r="P82" s="14"/>
      <c r="Q82" s="14"/>
      <c r="R82" s="14"/>
      <c r="S82" s="14"/>
      <c r="T82" s="14"/>
      <c r="U82" s="14"/>
      <c r="V82" s="14"/>
      <c r="W82" s="14"/>
      <c r="X82" s="14"/>
      <c r="Y82" s="14"/>
      <c r="Z82" s="14"/>
    </row>
    <row r="83" spans="1:26" ht="18.75">
      <c r="A83" s="14"/>
      <c r="B83" s="14"/>
      <c r="C83" s="14"/>
      <c r="D83" s="14"/>
      <c r="E83" s="90"/>
      <c r="F83" s="14"/>
      <c r="G83" s="14"/>
      <c r="H83" s="90"/>
      <c r="I83" s="14"/>
      <c r="J83" s="14"/>
      <c r="K83" s="14"/>
      <c r="L83" s="14"/>
      <c r="M83" s="14"/>
      <c r="N83" s="14"/>
      <c r="O83" s="14"/>
      <c r="P83" s="14"/>
      <c r="Q83" s="14"/>
      <c r="R83" s="14"/>
      <c r="S83" s="14"/>
      <c r="T83" s="14"/>
      <c r="U83" s="14"/>
      <c r="V83" s="14"/>
      <c r="W83" s="14"/>
      <c r="X83" s="14"/>
      <c r="Y83" s="14"/>
      <c r="Z83" s="14"/>
    </row>
    <row r="84" spans="1:26" ht="18.75">
      <c r="A84" s="14"/>
      <c r="B84" s="14"/>
      <c r="C84" s="14"/>
      <c r="D84" s="14"/>
      <c r="E84" s="90"/>
      <c r="F84" s="14"/>
      <c r="G84" s="14"/>
      <c r="H84" s="90"/>
      <c r="I84" s="14"/>
      <c r="J84" s="14"/>
      <c r="K84" s="14"/>
      <c r="L84" s="14"/>
      <c r="M84" s="14"/>
      <c r="N84" s="14"/>
      <c r="O84" s="14"/>
      <c r="P84" s="14"/>
      <c r="Q84" s="14"/>
      <c r="R84" s="14"/>
      <c r="S84" s="14"/>
      <c r="T84" s="14"/>
      <c r="U84" s="14"/>
      <c r="V84" s="14"/>
      <c r="W84" s="14"/>
      <c r="X84" s="14"/>
      <c r="Y84" s="14"/>
      <c r="Z84" s="14"/>
    </row>
    <row r="85" spans="1:26" ht="18.75">
      <c r="A85" s="14"/>
      <c r="B85" s="14"/>
      <c r="C85" s="14"/>
      <c r="D85" s="14"/>
      <c r="E85" s="90"/>
      <c r="F85" s="14"/>
      <c r="G85" s="14"/>
      <c r="H85" s="90"/>
      <c r="I85" s="14"/>
      <c r="J85" s="14"/>
      <c r="K85" s="14"/>
      <c r="L85" s="14"/>
      <c r="M85" s="14"/>
      <c r="N85" s="14"/>
      <c r="O85" s="14"/>
      <c r="P85" s="14"/>
      <c r="Q85" s="14"/>
      <c r="R85" s="14"/>
      <c r="S85" s="14"/>
      <c r="T85" s="14"/>
      <c r="U85" s="14"/>
      <c r="V85" s="14"/>
      <c r="W85" s="14"/>
      <c r="X85" s="14"/>
      <c r="Y85" s="14"/>
      <c r="Z85" s="14"/>
    </row>
    <row r="86" spans="1:26" ht="18.75">
      <c r="A86" s="14"/>
      <c r="B86" s="14"/>
      <c r="C86" s="14"/>
      <c r="D86" s="14"/>
      <c r="E86" s="90"/>
      <c r="F86" s="14"/>
      <c r="G86" s="14"/>
      <c r="H86" s="90"/>
      <c r="I86" s="14"/>
      <c r="J86" s="14"/>
      <c r="K86" s="14"/>
      <c r="L86" s="14"/>
      <c r="M86" s="14"/>
      <c r="N86" s="14"/>
      <c r="O86" s="14"/>
      <c r="P86" s="14"/>
      <c r="Q86" s="14"/>
      <c r="R86" s="14"/>
      <c r="S86" s="14"/>
      <c r="T86" s="14"/>
      <c r="U86" s="14"/>
      <c r="V86" s="14"/>
      <c r="W86" s="14"/>
      <c r="X86" s="14"/>
      <c r="Y86" s="14"/>
      <c r="Z86" s="14"/>
    </row>
    <row r="87" spans="1:26" ht="18.75">
      <c r="A87" s="14"/>
      <c r="B87" s="14"/>
      <c r="C87" s="14"/>
      <c r="D87" s="14"/>
      <c r="E87" s="90"/>
      <c r="F87" s="14"/>
      <c r="G87" s="14"/>
      <c r="H87" s="90"/>
      <c r="I87" s="14"/>
      <c r="J87" s="14"/>
      <c r="K87" s="14"/>
      <c r="L87" s="14"/>
      <c r="M87" s="14"/>
      <c r="N87" s="14"/>
      <c r="O87" s="14"/>
      <c r="P87" s="14"/>
      <c r="Q87" s="14"/>
      <c r="R87" s="14"/>
      <c r="S87" s="14"/>
      <c r="T87" s="14"/>
      <c r="U87" s="14"/>
      <c r="V87" s="14"/>
      <c r="W87" s="14"/>
      <c r="X87" s="14"/>
      <c r="Y87" s="14"/>
      <c r="Z87" s="14"/>
    </row>
    <row r="88" spans="1:26" ht="18.75">
      <c r="A88" s="14"/>
      <c r="B88" s="14"/>
      <c r="C88" s="14"/>
      <c r="D88" s="14"/>
      <c r="E88" s="90"/>
      <c r="F88" s="14"/>
      <c r="G88" s="14"/>
      <c r="H88" s="90"/>
      <c r="I88" s="14"/>
      <c r="J88" s="14"/>
      <c r="K88" s="14"/>
      <c r="L88" s="14"/>
      <c r="M88" s="14"/>
      <c r="N88" s="14"/>
      <c r="O88" s="14"/>
      <c r="P88" s="14"/>
      <c r="Q88" s="14"/>
      <c r="R88" s="14"/>
      <c r="S88" s="14"/>
      <c r="T88" s="14"/>
      <c r="U88" s="14"/>
      <c r="V88" s="14"/>
      <c r="W88" s="14"/>
      <c r="X88" s="14"/>
      <c r="Y88" s="14"/>
      <c r="Z88" s="14"/>
    </row>
    <row r="89" spans="1:26" ht="18.75">
      <c r="A89" s="14"/>
      <c r="B89" s="14"/>
      <c r="C89" s="14"/>
      <c r="D89" s="14"/>
      <c r="E89" s="90"/>
      <c r="F89" s="14"/>
      <c r="G89" s="14"/>
      <c r="H89" s="90"/>
      <c r="I89" s="14"/>
      <c r="J89" s="14"/>
      <c r="K89" s="14"/>
      <c r="L89" s="14"/>
      <c r="M89" s="14"/>
      <c r="N89" s="14"/>
      <c r="O89" s="14"/>
      <c r="P89" s="14"/>
      <c r="Q89" s="14"/>
      <c r="R89" s="14"/>
      <c r="S89" s="14"/>
      <c r="T89" s="14"/>
      <c r="U89" s="14"/>
      <c r="V89" s="14"/>
      <c r="W89" s="14"/>
      <c r="X89" s="14"/>
      <c r="Y89" s="14"/>
      <c r="Z89" s="14"/>
    </row>
    <row r="90" spans="1:26" ht="18.75">
      <c r="A90" s="14"/>
      <c r="B90" s="14"/>
      <c r="C90" s="14"/>
      <c r="D90" s="14"/>
      <c r="E90" s="90"/>
      <c r="F90" s="14"/>
      <c r="G90" s="14"/>
      <c r="H90" s="90"/>
      <c r="I90" s="14"/>
      <c r="J90" s="14"/>
      <c r="K90" s="14"/>
      <c r="L90" s="14"/>
      <c r="M90" s="14"/>
      <c r="N90" s="14"/>
      <c r="O90" s="14"/>
      <c r="P90" s="14"/>
      <c r="Q90" s="14"/>
      <c r="R90" s="14"/>
      <c r="S90" s="14"/>
      <c r="T90" s="14"/>
      <c r="U90" s="14"/>
      <c r="V90" s="14"/>
      <c r="W90" s="14"/>
      <c r="X90" s="14"/>
      <c r="Y90" s="14"/>
      <c r="Z90" s="14"/>
    </row>
    <row r="91" spans="1:26" ht="18.75">
      <c r="A91" s="14"/>
      <c r="B91" s="14"/>
      <c r="C91" s="14"/>
      <c r="D91" s="14"/>
      <c r="E91" s="90"/>
      <c r="F91" s="14"/>
      <c r="G91" s="14"/>
      <c r="H91" s="90"/>
      <c r="I91" s="14"/>
      <c r="J91" s="14"/>
      <c r="K91" s="14"/>
      <c r="L91" s="14"/>
      <c r="M91" s="14"/>
      <c r="N91" s="14"/>
      <c r="O91" s="14"/>
      <c r="P91" s="14"/>
      <c r="Q91" s="14"/>
      <c r="R91" s="14"/>
      <c r="S91" s="14"/>
      <c r="T91" s="14"/>
      <c r="U91" s="14"/>
      <c r="V91" s="14"/>
      <c r="W91" s="14"/>
      <c r="X91" s="14"/>
      <c r="Y91" s="14"/>
      <c r="Z91" s="14"/>
    </row>
    <row r="92" spans="1:26" ht="18.75">
      <c r="A92" s="14"/>
      <c r="B92" s="14"/>
      <c r="C92" s="14"/>
      <c r="D92" s="14"/>
      <c r="E92" s="90"/>
      <c r="F92" s="14"/>
      <c r="G92" s="14"/>
      <c r="H92" s="90"/>
      <c r="I92" s="14"/>
      <c r="J92" s="14"/>
      <c r="K92" s="14"/>
      <c r="L92" s="14"/>
      <c r="M92" s="14"/>
      <c r="N92" s="14"/>
      <c r="O92" s="14"/>
      <c r="P92" s="14"/>
      <c r="Q92" s="14"/>
      <c r="R92" s="14"/>
      <c r="S92" s="14"/>
      <c r="T92" s="14"/>
      <c r="U92" s="14"/>
      <c r="V92" s="14"/>
      <c r="W92" s="14"/>
      <c r="X92" s="14"/>
      <c r="Y92" s="14"/>
      <c r="Z92" s="14"/>
    </row>
    <row r="93" spans="1:26" ht="18.7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8.7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8.7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8.7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8.7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8.7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8.7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8.7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8.7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8.7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8.7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8.7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8.7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8.7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8.7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8.7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8.7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8.7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8.7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8.7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8.7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8.7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8.7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8.7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8.7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8.7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8.7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8.7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8.7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8.7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8.7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8.7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8.7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8.7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8.7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8.7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8.7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8.7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8.7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8.7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8.7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8.7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8.7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8.7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8.7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8.7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8.7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8.7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8.7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8.7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8.7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8.7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8.7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8.7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8.7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8.7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8.7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8.7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8.7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8.7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8.7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8.7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8.7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8.7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8.7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8.7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8.7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8.7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8.7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8.7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8.7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8.7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8.7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8.7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8.7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8.7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8.7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8.7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8.7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8.7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8.7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8.7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8.7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8.7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8.7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8.7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8.7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8.7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8.7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8.7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8.7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8.7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8.7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8.7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8.7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8.7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8.7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8.7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8.7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8.7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8.7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8.7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8.7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8.7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8.7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8.7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8.7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8.7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8.7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8.7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8.7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8.7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8.7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8.7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8.7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8.7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8.7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8.7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8.7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8.7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8.7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8.7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8.7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8.7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8.7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8.7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8.7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8.7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8.7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8.7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8.7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8.7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8.7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8.7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8.7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8.7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8.7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8.7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8.7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8.7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8.7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8.7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8.7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8.7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8.7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8.7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8.7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8.7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8.7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8.7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8.7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8.7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8.7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8.7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8.7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8.7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8.7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8.7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8.7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8.7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8.7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8.7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8.7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8.7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8.7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8.7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8.7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8.7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8.7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8.7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8.7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8.7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8.7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8.7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8.7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8.7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8.7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8.7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8.7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8.7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8.7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8.7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8.7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8.7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8.7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8.7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8.7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8.7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8.7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8.7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8.7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8.7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8.7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8.7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8.7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8.7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8.7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8.7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8.7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8.7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8.7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8.7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8.7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8.7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8.7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8.7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8.7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8.7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8.7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8.7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8.7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8.7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8.7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8.7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8.7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8.7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8.7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8.7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8.7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8.7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8.7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8.7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8.7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8.7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8.7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8.7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8.7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8.7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8.7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8.7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8.7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8.7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8.7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8.7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8.7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8.7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8.7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8.7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8.7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8.7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8.7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8.7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8.7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8.7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8.7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8.7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8.7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8.7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8.7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8.7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8.7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8.7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8.7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8.7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8.7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8.7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8.7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8.7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8.7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8.7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8.7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8.7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8.7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8.7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8.7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8.7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8.7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8.7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8.7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8.7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8.7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8.7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8.7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8.7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8.7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8.7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8.7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8.7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8.7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8.7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8.7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8.7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8.7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8.7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8.7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8.7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8.7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8.7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8.7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8.7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8.7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8.7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8.7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8.7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8.7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8.7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8.7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8.7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8.7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8.7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8.7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8.7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8.7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8.7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8.7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8.7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8.7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8.7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8.7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8.7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8.7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8.7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8.7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8.7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8.7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8.7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8.7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8.7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8.7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8.7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8.7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8.7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8.7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8.7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8.7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8.7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8.7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8.7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8.7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8.7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8.7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8.7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8.7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8.7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8.7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8.7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8.7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8.7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8.7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8.7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8.7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8.7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8.7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8.7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8.7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8.7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8.7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8.7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8.7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8.7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8.7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8.7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8.7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8.7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8.7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8.7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8.7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8.7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8.7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8.7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8.75">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8.75">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8.7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8.75">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8.75">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8.75">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8.75">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8.75">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8.75">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8.75">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8.75">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8.75">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8.7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8.75">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8.75">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8.75">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8.75">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8.75">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8.75">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8.75">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8.75">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8.75">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8.7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8.75">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8.75">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8.75">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8.75">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8.75">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8.75">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8.75">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8.75">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8.75">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8.7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8.75">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8.75">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8.75">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8.75">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8.75">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8.75">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8.75">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8.75">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8.75">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8.7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8.75">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8.75">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8.75">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8.75">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8.75">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8.75">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8.75">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8.75">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8.75">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8.7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8.75">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8.75">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8.75">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8.75">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8.75">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8.75">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8.75">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8.75">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8.75">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8.7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8.75">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8.75">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8.75">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8.75">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8.75">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8.75">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8.75">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8.75">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8.75">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8.7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8.75">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8.75">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8.75">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8.75">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8.75">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8.75">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8.75">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8.75">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8.75">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8.7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8.75">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8.75">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8.75">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8.75">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8.75">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8.75">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8.75">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8.75">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8.75">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8.7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8.75">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8.75">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8.75">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8.75">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8.75">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8.75">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8.75">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8.75">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8.75">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8.7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8.75">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8.75">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8.75">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8.75">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8.75">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8.75">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8.75">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8.75">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8.75">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8.7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8.75">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8.75">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8.75">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8.75">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8.75">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8.75">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8.75">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8.75">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8.75">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8.7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8.75">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8.75">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8.75">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8.75">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8.75">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8.75">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8.75">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8.75">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8.75">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8.7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8.75">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8.75">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8.75">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8.75">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8.75">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8.75">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8.75">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8.75">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8.75">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8.7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8.75">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8.75">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8.75">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8.75">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8.75">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8.75">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8.75">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8.75">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8.75">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8.7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8.75">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8.75">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8.75">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8.75">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8.75">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8.75">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8.75">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8.75">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8.75">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8.7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8.75">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8.75">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8.75">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8.75">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8.75">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8.75">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8.75">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8.75">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8.75">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8.7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8.75">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8.75">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8.75">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8.75">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8.75">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8.75">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8.75">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8.75">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8.75">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8.7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8.75">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8.75">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8.75">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8.75">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8.75">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8.75">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8.75">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8.75">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8.75">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8.7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8.75">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8.75">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8.75">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8.75">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8.75">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8.75">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8.75">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8.75">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8.75">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8.7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8.75">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8.75">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8.75">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8.75">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8.75">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8.75">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8.75">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8.75">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8.75">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8.7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8.75">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8.75">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8.75">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8.75">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8.75">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8.75">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8.75">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8.75">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8.75">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8.7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8.75">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8.75">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8.75">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8.75">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8.75">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8.75">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8.75">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8.75">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8.75">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8.7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8.75">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8.75">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8.75">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8.75">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8.75">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8.75">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8.75">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8.75">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8.75">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8.7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8.75">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8.75">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8.75">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8.75">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8.75">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8.75">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8.75">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8.75">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8.75">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8.7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8.75">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8.75">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8.75">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8.75">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8.75">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8.75">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8.75">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8.75">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8.75">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8.7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8.75">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8.75">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8.75">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8.75">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8.75">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8.75">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8.75">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8.75">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8.75">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8.7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8.75">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8.75">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8.75">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8.75">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8.75">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8.75">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8.75">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8.75">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8.75">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8.7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8.75">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8.75">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8.75">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8.75">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8.75">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8.75">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8.75">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8.75">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8.75">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8.7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8.75">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8.75">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8.75">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8.75">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8.75">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8.75">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8.75">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8.75">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8.75">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8.7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8.75">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8.75">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8.75">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8.75">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8.75">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8.75">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8.75">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8.75">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8.75">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8.7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8.75">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8.75">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8.75">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8.75">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8.75">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8.75">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8.75">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8.75">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8.75">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8.7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8.75">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8.75">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8.75">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8.75">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8.75">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8.75">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8.75">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8.75">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8.75">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8.7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8.75">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8.75">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8.75">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8.75">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8.75">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8.75">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8.75">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8.75">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8.75">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8.7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8.75">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8.75">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8.75">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8.75">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8.75">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8.75">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8.75">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8.75">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8.75">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8.7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8.75">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8.75">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8.75">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8.75">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8.75">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8.75">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8.75">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8.75">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8.75">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8.7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8.75">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8.75">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8.75">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8.75">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8.75">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8.75">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8.75">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8.75">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8.75">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8.7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8.75">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8.75">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8.75">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8.75">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8.75">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8.75">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8.75">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8.75">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8.75">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8.7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8.75">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8.75">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8.75">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8.75">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8.75">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8.75">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8.75">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8.75">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8.75">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8.7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8.75">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8.75">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8.75">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8.75">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8.75">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8.75">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8.75">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8.75">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8.75">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8.7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8.75">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8.75">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8.75">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8.75">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8.75">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8.75">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8.75">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8.75">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8.75">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8.7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8.75">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8.75">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8.75">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8.75">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8.75">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8.75">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8.75">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8.75">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8.75">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8.7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8.75">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8.75">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8.75">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8.75">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8.75">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8.75">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8.75">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8.75">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8.75">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8.7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8.75">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8.75">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8.75">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8.75">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8.75">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8.75">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8.75">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8.75">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8.75">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8.7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8.75">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8.75">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8.75">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8.75">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8.75">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8.75">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8.75">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8.75">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8.75">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8.7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8.75">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8.75">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8.75">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8.75">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8.75">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8.75">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8.75">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8.75">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8.75">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8.7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8.75">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8.75">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8.75">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8.75">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8.75">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8.75">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8.75">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8.75">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8.75">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8.7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8.75">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8.75">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8.75">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8.75">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8.75">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8.75">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8.75">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8.75">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8.75">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8.7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8.75">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8.75">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8.75">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8.75">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8.75">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8.75">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8.75">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8.75">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8.75">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8.7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8.75">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8.75">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8.75">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8.75">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8.75">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8.75">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8.75">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8.75">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sheetData>
  <mergeCells count="136">
    <mergeCell ref="C2:C5"/>
    <mergeCell ref="A2:A5"/>
    <mergeCell ref="A6:A10"/>
    <mergeCell ref="A11:A12"/>
    <mergeCell ref="B54:B55"/>
    <mergeCell ref="B56:B57"/>
    <mergeCell ref="B11:B12"/>
    <mergeCell ref="B6:B10"/>
    <mergeCell ref="C13:C18"/>
    <mergeCell ref="B36:B39"/>
    <mergeCell ref="B2:B5"/>
    <mergeCell ref="B13:B18"/>
    <mergeCell ref="A56:A57"/>
    <mergeCell ref="A52:A53"/>
    <mergeCell ref="A49:A51"/>
    <mergeCell ref="B52:B53"/>
    <mergeCell ref="B40:B43"/>
    <mergeCell ref="B46:B48"/>
    <mergeCell ref="A54:A55"/>
    <mergeCell ref="A44:A45"/>
    <mergeCell ref="A46:A48"/>
    <mergeCell ref="A40:A43"/>
    <mergeCell ref="A63:A64"/>
    <mergeCell ref="A65:A66"/>
    <mergeCell ref="A71:A73"/>
    <mergeCell ref="A67:A69"/>
    <mergeCell ref="B71:B73"/>
    <mergeCell ref="C71:C73"/>
    <mergeCell ref="B63:B64"/>
    <mergeCell ref="C52:C53"/>
    <mergeCell ref="C32:C35"/>
    <mergeCell ref="C40:C43"/>
    <mergeCell ref="C46:C48"/>
    <mergeCell ref="C36:C39"/>
    <mergeCell ref="A58:A59"/>
    <mergeCell ref="A60:A61"/>
    <mergeCell ref="C65:C66"/>
    <mergeCell ref="B65:B66"/>
    <mergeCell ref="H41:H43"/>
    <mergeCell ref="H37:H39"/>
    <mergeCell ref="H44:H45"/>
    <mergeCell ref="D63:D64"/>
    <mergeCell ref="E65:E66"/>
    <mergeCell ref="E67:E69"/>
    <mergeCell ref="E71:E73"/>
    <mergeCell ref="D52:D53"/>
    <mergeCell ref="E52:E53"/>
    <mergeCell ref="E58:E59"/>
    <mergeCell ref="E60:E61"/>
    <mergeCell ref="E36:E39"/>
    <mergeCell ref="H58:H59"/>
    <mergeCell ref="H60:H61"/>
    <mergeCell ref="H67:H68"/>
    <mergeCell ref="H63:H64"/>
    <mergeCell ref="D60:D61"/>
    <mergeCell ref="D71:D73"/>
    <mergeCell ref="D65:D66"/>
    <mergeCell ref="D67:D69"/>
    <mergeCell ref="D36:D39"/>
    <mergeCell ref="B58:B59"/>
    <mergeCell ref="D58:D59"/>
    <mergeCell ref="C58:C59"/>
    <mergeCell ref="B32:B35"/>
    <mergeCell ref="B60:B61"/>
    <mergeCell ref="C60:C61"/>
    <mergeCell ref="C63:C64"/>
    <mergeCell ref="C67:C69"/>
    <mergeCell ref="B67:B69"/>
    <mergeCell ref="E54:E55"/>
    <mergeCell ref="E56:E57"/>
    <mergeCell ref="C54:C55"/>
    <mergeCell ref="H46:H48"/>
    <mergeCell ref="H54:H55"/>
    <mergeCell ref="H49:H51"/>
    <mergeCell ref="H52:H53"/>
    <mergeCell ref="H56:H57"/>
    <mergeCell ref="C56:C57"/>
    <mergeCell ref="D54:D55"/>
    <mergeCell ref="D56:D57"/>
    <mergeCell ref="D46:D48"/>
    <mergeCell ref="D49:D51"/>
    <mergeCell ref="E44:E45"/>
    <mergeCell ref="E46:E48"/>
    <mergeCell ref="C49:C51"/>
    <mergeCell ref="B49:B51"/>
    <mergeCell ref="E40:E43"/>
    <mergeCell ref="B44:B45"/>
    <mergeCell ref="C44:C45"/>
    <mergeCell ref="D44:D45"/>
    <mergeCell ref="D40:D43"/>
    <mergeCell ref="E49:E51"/>
    <mergeCell ref="A23:A24"/>
    <mergeCell ref="A19:A22"/>
    <mergeCell ref="B23:B24"/>
    <mergeCell ref="B19:B22"/>
    <mergeCell ref="A13:A18"/>
    <mergeCell ref="A32:A35"/>
    <mergeCell ref="A36:A39"/>
    <mergeCell ref="A29:A31"/>
    <mergeCell ref="A25:A28"/>
    <mergeCell ref="B25:B28"/>
    <mergeCell ref="B29:B31"/>
    <mergeCell ref="H7:H10"/>
    <mergeCell ref="H11:H12"/>
    <mergeCell ref="D32:D35"/>
    <mergeCell ref="E32:E35"/>
    <mergeCell ref="H29:H31"/>
    <mergeCell ref="H33:H35"/>
    <mergeCell ref="H2:H5"/>
    <mergeCell ref="F3:F4"/>
    <mergeCell ref="E2:E5"/>
    <mergeCell ref="F7:F8"/>
    <mergeCell ref="D2:D5"/>
    <mergeCell ref="H25:H28"/>
    <mergeCell ref="H13:H18"/>
    <mergeCell ref="H21:H22"/>
    <mergeCell ref="D29:D31"/>
    <mergeCell ref="D25:D28"/>
    <mergeCell ref="E29:E31"/>
    <mergeCell ref="E13:E18"/>
    <mergeCell ref="D13:D18"/>
    <mergeCell ref="D6:D10"/>
    <mergeCell ref="D11:D12"/>
    <mergeCell ref="C19:C22"/>
    <mergeCell ref="C23:C24"/>
    <mergeCell ref="C29:C31"/>
    <mergeCell ref="D23:D24"/>
    <mergeCell ref="D19:D22"/>
    <mergeCell ref="C6:C10"/>
    <mergeCell ref="E6:E10"/>
    <mergeCell ref="E11:E12"/>
    <mergeCell ref="E23:E24"/>
    <mergeCell ref="E25:E28"/>
    <mergeCell ref="E19:E22"/>
    <mergeCell ref="C25:C28"/>
    <mergeCell ref="C11:C12"/>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17"/>
  <sheetViews>
    <sheetView workbookViewId="0">
      <pane ySplit="1" topLeftCell="A2" activePane="bottomLeft" state="frozen"/>
      <selection pane="bottomLeft" activeCell="B3" sqref="B3"/>
    </sheetView>
  </sheetViews>
  <sheetFormatPr defaultColWidth="14.42578125" defaultRowHeight="15.75" customHeight="1"/>
  <cols>
    <col min="1" max="1" width="5.42578125" customWidth="1"/>
    <col min="2" max="2" width="31.42578125" customWidth="1"/>
    <col min="3" max="3" width="14" customWidth="1"/>
    <col min="4" max="4" width="23" customWidth="1"/>
    <col min="5" max="5" width="19" customWidth="1"/>
    <col min="6" max="6" width="14.42578125" customWidth="1"/>
    <col min="7" max="7" width="11.85546875" customWidth="1"/>
    <col min="8" max="8" width="113.140625" customWidth="1"/>
    <col min="9" max="9" width="14.85546875" customWidth="1"/>
    <col min="10" max="10" width="17.140625" customWidth="1"/>
  </cols>
  <sheetData>
    <row r="1" spans="1:28" ht="23.25" customHeight="1">
      <c r="A1" s="1"/>
      <c r="B1" s="2" t="s">
        <v>0</v>
      </c>
      <c r="C1" s="4" t="s">
        <v>1</v>
      </c>
      <c r="D1" s="2" t="s">
        <v>2</v>
      </c>
      <c r="E1" s="2" t="s">
        <v>3</v>
      </c>
      <c r="F1" s="6" t="s">
        <v>4</v>
      </c>
      <c r="G1" s="2" t="s">
        <v>5</v>
      </c>
      <c r="H1" s="6" t="s">
        <v>6</v>
      </c>
      <c r="I1" s="6" t="s">
        <v>7</v>
      </c>
      <c r="J1" s="8" t="s">
        <v>8</v>
      </c>
      <c r="K1" s="9"/>
      <c r="L1" s="9"/>
      <c r="M1" s="9"/>
      <c r="N1" s="9"/>
      <c r="O1" s="9"/>
      <c r="P1" s="9"/>
      <c r="Q1" s="9"/>
      <c r="R1" s="9"/>
      <c r="S1" s="9"/>
      <c r="T1" s="9"/>
      <c r="U1" s="9"/>
      <c r="V1" s="9"/>
      <c r="W1" s="9"/>
      <c r="X1" s="9"/>
      <c r="Y1" s="9"/>
      <c r="Z1" s="9"/>
      <c r="AA1" s="9"/>
      <c r="AB1" s="9"/>
    </row>
    <row r="2" spans="1:28" ht="54" customHeight="1">
      <c r="A2" s="109">
        <v>1</v>
      </c>
      <c r="B2" s="109" t="s">
        <v>9</v>
      </c>
      <c r="C2" s="109" t="s">
        <v>11</v>
      </c>
      <c r="D2" s="109" t="s">
        <v>13</v>
      </c>
      <c r="E2" s="109" t="s">
        <v>14</v>
      </c>
      <c r="F2" s="110" t="str">
        <f>HYPERLINK("www.mpf.mp.br/pa/sala-de-imprensa/documentos/2017/processos-usinas-tapajos-e-teles-pires/003883-98-2012-4-01.3902/acp-consulta-previa.pdf/at_download/file","Clique aqui")</f>
        <v>Clique aqui</v>
      </c>
      <c r="G2" s="109" t="s">
        <v>16</v>
      </c>
      <c r="H2" s="10" t="s">
        <v>17</v>
      </c>
      <c r="I2" s="13" t="str">
        <f>HYPERLINK("www.mpf.mp.br/pa/sala-de-imprensa/documentos/2017/processos-usinas-tapajos-e-teles-pires/003883-98-2012-4-01.3902/liminar-consulta-previa.pdf/at_download/file","Liminar")</f>
        <v>Liminar</v>
      </c>
      <c r="J2" s="110" t="str">
        <f>HYPERLINK("http://processual.trf1.jus.br/consultaProcessual/processo.php?proc=38839820124013902&amp;secao=IAB&amp;nome=AGENCIA%20NACIONAL%20DE%20ENERGIA%20ELETRICA%20-%20ANEEL&amp;mostrarBaixados=N","Clique aqui")</f>
        <v>Clique aqui</v>
      </c>
      <c r="K2" s="14"/>
      <c r="L2" s="14"/>
      <c r="M2" s="14"/>
      <c r="N2" s="14"/>
      <c r="O2" s="14"/>
      <c r="P2" s="14"/>
      <c r="Q2" s="14"/>
      <c r="R2" s="14"/>
      <c r="S2" s="14"/>
      <c r="T2" s="14"/>
      <c r="U2" s="14"/>
      <c r="V2" s="14"/>
      <c r="W2" s="14"/>
      <c r="X2" s="14"/>
      <c r="Y2" s="14"/>
      <c r="Z2" s="14"/>
      <c r="AA2" s="14"/>
      <c r="AB2" s="14"/>
    </row>
    <row r="3" spans="1:28" ht="37.5">
      <c r="A3" s="93"/>
      <c r="B3" s="93"/>
      <c r="C3" s="93"/>
      <c r="D3" s="93"/>
      <c r="E3" s="93"/>
      <c r="F3" s="93"/>
      <c r="G3" s="93"/>
      <c r="H3" s="15" t="s">
        <v>19</v>
      </c>
      <c r="I3" s="17" t="str">
        <f>HYPERLINK("www.mpf.mp.br/pa/sala-de-imprensa/documentos/2017/processos-usinas-tapajos-e-teles-pires/003883-98-2012-4-01.3902/decisao_trf-1_agravo_mpf_operacao_tapajos.pdf/at_download/file","Decisão")</f>
        <v>Decisão</v>
      </c>
      <c r="J3" s="93"/>
      <c r="K3" s="14"/>
      <c r="L3" s="14"/>
      <c r="M3" s="14"/>
      <c r="N3" s="14"/>
      <c r="O3" s="14"/>
      <c r="P3" s="14"/>
      <c r="Q3" s="14"/>
      <c r="R3" s="14"/>
      <c r="S3" s="14"/>
      <c r="T3" s="14"/>
      <c r="U3" s="14"/>
      <c r="V3" s="14"/>
      <c r="W3" s="14"/>
      <c r="X3" s="14"/>
      <c r="Y3" s="14"/>
      <c r="Z3" s="14"/>
      <c r="AA3" s="14"/>
      <c r="AB3" s="14"/>
    </row>
    <row r="4" spans="1:28" ht="37.5">
      <c r="A4" s="93"/>
      <c r="B4" s="93"/>
      <c r="C4" s="93"/>
      <c r="D4" s="93"/>
      <c r="E4" s="93"/>
      <c r="F4" s="93"/>
      <c r="G4" s="93"/>
      <c r="H4" s="15" t="s">
        <v>21</v>
      </c>
      <c r="I4" s="17" t="str">
        <f>HYPERLINK("www.mpf.mp.br/pa/sala-de-imprensa/documentos/2017/processos-usinas-tapajos-e-teles-pires/003883-98-2012-4-01.3902/suspensao.pdf/at_download/file","Suspensão")</f>
        <v>Suspensão</v>
      </c>
      <c r="J4" s="93"/>
      <c r="K4" s="14"/>
      <c r="L4" s="14"/>
      <c r="M4" s="14"/>
      <c r="N4" s="14"/>
      <c r="O4" s="14"/>
      <c r="P4" s="14"/>
      <c r="Q4" s="14"/>
      <c r="R4" s="14"/>
      <c r="S4" s="14"/>
      <c r="T4" s="14"/>
      <c r="U4" s="14"/>
      <c r="V4" s="14"/>
      <c r="W4" s="14"/>
      <c r="X4" s="14"/>
      <c r="Y4" s="14"/>
      <c r="Z4" s="14"/>
      <c r="AA4" s="14"/>
      <c r="AB4" s="14"/>
    </row>
    <row r="5" spans="1:28" ht="18.75">
      <c r="A5" s="93"/>
      <c r="B5" s="93"/>
      <c r="C5" s="93"/>
      <c r="D5" s="93"/>
      <c r="E5" s="93"/>
      <c r="F5" s="93"/>
      <c r="G5" s="93"/>
      <c r="H5" s="18" t="s">
        <v>22</v>
      </c>
      <c r="I5" s="19" t="str">
        <f>HYPERLINK("www.mpf.mp.br/pa/sala-de-imprensa/documentos/2017/processos-usinas-tapajos-e-teles-pires/003883-98-2012-4-01.3902/sentenca-uhe-tapajos.pdf/at_download/file","Sentença")</f>
        <v>Sentença</v>
      </c>
      <c r="J5" s="93"/>
      <c r="K5" s="14"/>
      <c r="L5" s="14"/>
      <c r="M5" s="14"/>
      <c r="N5" s="14"/>
      <c r="O5" s="14"/>
      <c r="P5" s="14"/>
      <c r="Q5" s="14"/>
      <c r="R5" s="14"/>
      <c r="S5" s="14"/>
      <c r="T5" s="14"/>
      <c r="U5" s="14"/>
      <c r="V5" s="14"/>
      <c r="W5" s="14"/>
      <c r="X5" s="14"/>
      <c r="Y5" s="14"/>
      <c r="Z5" s="14"/>
      <c r="AA5" s="14"/>
      <c r="AB5" s="14"/>
    </row>
    <row r="6" spans="1:28" ht="18.75">
      <c r="A6" s="94"/>
      <c r="B6" s="94"/>
      <c r="C6" s="94"/>
      <c r="D6" s="94"/>
      <c r="E6" s="94"/>
      <c r="F6" s="94"/>
      <c r="G6" s="94"/>
      <c r="H6" s="20" t="s">
        <v>23</v>
      </c>
      <c r="I6" s="22"/>
      <c r="J6" s="94"/>
      <c r="K6" s="14"/>
      <c r="L6" s="14"/>
      <c r="M6" s="14"/>
      <c r="N6" s="14"/>
      <c r="O6" s="14"/>
      <c r="P6" s="14"/>
      <c r="Q6" s="14"/>
      <c r="R6" s="14"/>
      <c r="S6" s="14"/>
      <c r="T6" s="14"/>
      <c r="U6" s="14"/>
      <c r="V6" s="14"/>
      <c r="W6" s="14"/>
      <c r="X6" s="14"/>
      <c r="Y6" s="14"/>
      <c r="Z6" s="14"/>
      <c r="AA6" s="14"/>
      <c r="AB6" s="14"/>
    </row>
    <row r="7" spans="1:28" ht="18.75">
      <c r="A7" s="106">
        <v>2</v>
      </c>
      <c r="B7" s="106" t="s">
        <v>28</v>
      </c>
      <c r="C7" s="108" t="s">
        <v>29</v>
      </c>
      <c r="D7" s="92" t="s">
        <v>30</v>
      </c>
      <c r="E7" s="92" t="s">
        <v>31</v>
      </c>
      <c r="F7" s="111" t="str">
        <f>HYPERLINK("www.mpf.mp.br/pa/sala-de-imprensa/documentos/2017/processos-usinas-tapajos-e-teles-pires/006037-50-2011-4-01.3603/acp-6037-50-2011-4-01-3603-uhe-sinop-irregularidades-diversas-comprimido.pdf/at_download/file","Clique aqui")</f>
        <v>Clique aqui</v>
      </c>
      <c r="G7" s="92" t="s">
        <v>33</v>
      </c>
      <c r="H7" s="27" t="s">
        <v>34</v>
      </c>
      <c r="I7" s="26" t="str">
        <f>HYPERLINK("www.mpf.mp.br/pa/sala-de-imprensa/documentos/2017/processos-usinas-tapajos-e-teles-pires/006037-50-2011-4-01.3603/liminar-uhe-sinop-eia-irregular.pdf/at_download/file","Liminar")</f>
        <v>Liminar</v>
      </c>
      <c r="J7" s="96" t="str">
        <f>HYPERLINK("http://processual.trf1.jus.br/consultaProcessual/processo.php?proc=00060375020114013603&amp;secao=SNO&amp;pg=1&amp;enviar=Pesquisar","Clique aqui")</f>
        <v>Clique aqui</v>
      </c>
      <c r="K7" s="14"/>
      <c r="L7" s="14"/>
      <c r="M7" s="14"/>
      <c r="N7" s="14"/>
      <c r="O7" s="14"/>
      <c r="P7" s="14"/>
      <c r="Q7" s="14"/>
      <c r="R7" s="14"/>
      <c r="S7" s="14"/>
      <c r="T7" s="14"/>
      <c r="U7" s="14"/>
      <c r="V7" s="14"/>
      <c r="W7" s="14"/>
      <c r="X7" s="14"/>
      <c r="Y7" s="14"/>
      <c r="Z7" s="14"/>
      <c r="AA7" s="14"/>
      <c r="AB7" s="14"/>
    </row>
    <row r="8" spans="1:28" ht="18.75">
      <c r="A8" s="93"/>
      <c r="B8" s="93"/>
      <c r="C8" s="93"/>
      <c r="D8" s="93"/>
      <c r="E8" s="93"/>
      <c r="F8" s="93"/>
      <c r="G8" s="93"/>
      <c r="H8" s="29" t="s">
        <v>36</v>
      </c>
      <c r="I8" s="30" t="str">
        <f>HYPERLINK("www.mpf.mp.br/pa/sala-de-imprensa/documentos/2017/processos-usinas-tapajos-e-teles-pires/006037-50-2011-4-01.3603/cautelar-suspensao-do-leilao.pdf/at_download/file","Cautelar")</f>
        <v>Cautelar</v>
      </c>
      <c r="J8" s="93"/>
      <c r="K8" s="14"/>
      <c r="L8" s="14"/>
      <c r="M8" s="14"/>
      <c r="N8" s="14"/>
      <c r="O8" s="14"/>
      <c r="P8" s="14"/>
      <c r="Q8" s="14"/>
      <c r="R8" s="14"/>
      <c r="S8" s="14"/>
      <c r="T8" s="14"/>
      <c r="U8" s="14"/>
      <c r="V8" s="14"/>
      <c r="W8" s="14"/>
      <c r="X8" s="14"/>
      <c r="Y8" s="14"/>
      <c r="Z8" s="14"/>
      <c r="AA8" s="14"/>
      <c r="AB8" s="14"/>
    </row>
    <row r="9" spans="1:28" ht="33.75" customHeight="1">
      <c r="A9" s="93"/>
      <c r="B9" s="93"/>
      <c r="C9" s="93"/>
      <c r="D9" s="93"/>
      <c r="E9" s="93"/>
      <c r="F9" s="93"/>
      <c r="G9" s="93"/>
      <c r="H9" s="31" t="s">
        <v>37</v>
      </c>
      <c r="I9" s="33" t="str">
        <f>HYPERLINK("www.mpf.mp.br/pa/sala-de-imprensa/documentos/2017/processos-usinas-tapajos-e-teles-pires/006037-50-2011-4-01.3603/suspensao-de-seguranca.pdf/at_download/file","Suspensão")</f>
        <v>Suspensão</v>
      </c>
      <c r="J9" s="93"/>
      <c r="K9" s="14"/>
      <c r="L9" s="14"/>
      <c r="M9" s="14"/>
      <c r="N9" s="14"/>
      <c r="O9" s="14"/>
      <c r="P9" s="14"/>
      <c r="Q9" s="14"/>
      <c r="R9" s="14"/>
      <c r="S9" s="14"/>
      <c r="T9" s="14"/>
      <c r="U9" s="14"/>
      <c r="V9" s="14"/>
      <c r="W9" s="14"/>
      <c r="X9" s="14"/>
      <c r="Y9" s="14"/>
      <c r="Z9" s="14"/>
      <c r="AA9" s="14"/>
      <c r="AB9" s="14"/>
    </row>
    <row r="10" spans="1:28" ht="33.75" customHeight="1">
      <c r="A10" s="94"/>
      <c r="B10" s="94"/>
      <c r="C10" s="94"/>
      <c r="D10" s="94"/>
      <c r="E10" s="94"/>
      <c r="F10" s="94"/>
      <c r="G10" s="94"/>
      <c r="H10" s="34" t="s">
        <v>38</v>
      </c>
      <c r="J10" s="94"/>
      <c r="K10" s="14"/>
      <c r="L10" s="14"/>
      <c r="M10" s="14"/>
      <c r="N10" s="14"/>
      <c r="O10" s="14"/>
      <c r="P10" s="14"/>
      <c r="Q10" s="14"/>
      <c r="R10" s="14"/>
      <c r="S10" s="14"/>
      <c r="T10" s="14"/>
      <c r="U10" s="14"/>
      <c r="V10" s="14"/>
      <c r="W10" s="14"/>
      <c r="X10" s="14"/>
      <c r="Y10" s="14"/>
      <c r="Z10" s="14"/>
      <c r="AA10" s="14"/>
      <c r="AB10" s="14"/>
    </row>
    <row r="11" spans="1:28" ht="18.75">
      <c r="A11" s="95">
        <v>3</v>
      </c>
      <c r="B11" s="95" t="s">
        <v>39</v>
      </c>
      <c r="C11" s="109" t="s">
        <v>29</v>
      </c>
      <c r="D11" s="95" t="s">
        <v>41</v>
      </c>
      <c r="E11" s="95" t="s">
        <v>42</v>
      </c>
      <c r="F11" s="98" t="str">
        <f>HYPERLINK("www.mpf.mp.br/pa/sala-de-imprensa/documentos/2017/processos-usinas-tapajos-e-teles-pires/1294-89-2014-4-01.3603/acp-teles-pires-uhe-sinop-condicionantes-lp.pdf/at_download/file","Clique aqui")</f>
        <v>Clique aqui</v>
      </c>
      <c r="G11" s="95" t="s">
        <v>44</v>
      </c>
      <c r="H11" s="18" t="s">
        <v>45</v>
      </c>
      <c r="I11" s="13" t="str">
        <f>HYPERLINK("www.mpf.mp.br/pa/sala-de-imprensa/documentos/2017/processos-usinas-tapajos-e-teles-pires/1294-89-2014-4-01.3603/liminar-uhe-sinop-condicionantes-lp.pdf/at_download/file","Liminar")</f>
        <v>Liminar</v>
      </c>
      <c r="J11" s="98" t="str">
        <f>HYPERLINK("http://processual.trf1.jus.br/consultaProcessual/processo.php?trf1_captcha_id=35741b8b4bd1723e4afb998ae69ce549&amp;trf1_captcha=p5nk&amp;enviar=Pesquisar&amp;proc=12948920144013603&amp;secao=SNO","Clique aqui")</f>
        <v>Clique aqui</v>
      </c>
      <c r="K11" s="14"/>
      <c r="L11" s="14"/>
      <c r="M11" s="14"/>
      <c r="N11" s="14"/>
      <c r="O11" s="14"/>
      <c r="P11" s="14"/>
      <c r="Q11" s="14"/>
      <c r="R11" s="14"/>
      <c r="S11" s="14"/>
      <c r="T11" s="14"/>
      <c r="U11" s="14"/>
      <c r="V11" s="14"/>
      <c r="W11" s="14"/>
      <c r="X11" s="14"/>
      <c r="Y11" s="14"/>
      <c r="Z11" s="14"/>
      <c r="AA11" s="14"/>
      <c r="AB11" s="14"/>
    </row>
    <row r="12" spans="1:28" ht="18.75">
      <c r="A12" s="93"/>
      <c r="B12" s="93"/>
      <c r="C12" s="93"/>
      <c r="D12" s="93"/>
      <c r="E12" s="93"/>
      <c r="F12" s="93"/>
      <c r="G12" s="93"/>
      <c r="H12" s="15" t="s">
        <v>46</v>
      </c>
      <c r="I12" s="17" t="str">
        <f>HYPERLINK("http://www.prpa.mpf.mp.br/news/2014/arquivos/UHE%20Sinop%20ACP%20Condicionantes%20LP%20Suspensao%20de%20Seguranca.pdf/at_download/file","Suspensão")</f>
        <v>Suspensão</v>
      </c>
      <c r="J12" s="93"/>
      <c r="K12" s="14"/>
      <c r="L12" s="14"/>
      <c r="M12" s="14"/>
      <c r="N12" s="14"/>
      <c r="O12" s="14"/>
      <c r="P12" s="14"/>
      <c r="Q12" s="14"/>
      <c r="R12" s="14"/>
      <c r="S12" s="14"/>
      <c r="T12" s="14"/>
      <c r="U12" s="14"/>
      <c r="V12" s="14"/>
      <c r="W12" s="14"/>
      <c r="X12" s="14"/>
      <c r="Y12" s="14"/>
      <c r="Z12" s="14"/>
      <c r="AA12" s="14"/>
      <c r="AB12" s="14"/>
    </row>
    <row r="13" spans="1:28" ht="18.75">
      <c r="A13" s="93"/>
      <c r="B13" s="93"/>
      <c r="C13" s="93"/>
      <c r="D13" s="93"/>
      <c r="E13" s="93"/>
      <c r="F13" s="93"/>
      <c r="G13" s="93"/>
      <c r="H13" s="15" t="s">
        <v>49</v>
      </c>
      <c r="I13" s="17" t="str">
        <f>HYPERLINK("www.mpf.mp.br/pa/sala-de-imprensa/documentos/2017/processos-usinas-tapajos-e-teles-pires/1294-89-2014-4-01.3603/sentenca-improcedente.pdf/at_download/file","Sentença")</f>
        <v>Sentença</v>
      </c>
      <c r="J13" s="93"/>
      <c r="K13" s="14"/>
      <c r="L13" s="14"/>
      <c r="M13" s="14"/>
      <c r="N13" s="14"/>
      <c r="O13" s="14"/>
      <c r="P13" s="14"/>
      <c r="Q13" s="14"/>
      <c r="R13" s="14"/>
      <c r="S13" s="14"/>
      <c r="T13" s="14"/>
      <c r="U13" s="14"/>
      <c r="V13" s="14"/>
      <c r="W13" s="14"/>
      <c r="X13" s="14"/>
      <c r="Y13" s="14"/>
      <c r="Z13" s="14"/>
      <c r="AA13" s="14"/>
      <c r="AB13" s="14"/>
    </row>
    <row r="14" spans="1:28" ht="56.25">
      <c r="A14" s="94"/>
      <c r="B14" s="94"/>
      <c r="C14" s="94"/>
      <c r="D14" s="94"/>
      <c r="E14" s="94"/>
      <c r="F14" s="94"/>
      <c r="G14" s="94"/>
      <c r="H14" s="20" t="s">
        <v>51</v>
      </c>
      <c r="I14" s="37" t="str">
        <f>HYPERLINK("http://arquivo.trf1.gov.br/AGText/2014/0001200/00012948920144013603_3.doc","Acórdão")</f>
        <v>Acórdão</v>
      </c>
      <c r="J14" s="94"/>
      <c r="K14" s="14"/>
      <c r="L14" s="14"/>
      <c r="M14" s="14"/>
      <c r="N14" s="14"/>
      <c r="O14" s="14"/>
      <c r="P14" s="14"/>
      <c r="Q14" s="14"/>
      <c r="R14" s="14"/>
      <c r="S14" s="14"/>
      <c r="T14" s="14"/>
      <c r="U14" s="14"/>
      <c r="V14" s="14"/>
      <c r="W14" s="14"/>
      <c r="X14" s="14"/>
      <c r="Y14" s="14"/>
      <c r="Z14" s="14"/>
      <c r="AA14" s="14"/>
      <c r="AB14" s="14"/>
    </row>
    <row r="15" spans="1:28" ht="37.5">
      <c r="A15" s="106">
        <v>4</v>
      </c>
      <c r="B15" s="106" t="s">
        <v>53</v>
      </c>
      <c r="C15" s="108" t="s">
        <v>54</v>
      </c>
      <c r="D15" s="92" t="s">
        <v>55</v>
      </c>
      <c r="E15" s="92" t="s">
        <v>56</v>
      </c>
      <c r="F15" s="96" t="str">
        <f>HYPERLINK("www.mpf.mp.br/pa/sala-de-imprensa/documentos/2017/processos-usinas-tapajos-e-teles-pires/7786-39-2010-4-01.3603/acp-licenciamento-federal-sinop.pdf/at_download/file","Clique aqui")</f>
        <v>Clique aqui</v>
      </c>
      <c r="G15" s="92" t="s">
        <v>33</v>
      </c>
      <c r="H15" s="25" t="s">
        <v>58</v>
      </c>
      <c r="I15" s="38" t="s">
        <v>59</v>
      </c>
      <c r="J15" s="96" t="str">
        <f>HYPERLINK("http://processual.trf1.jus.br/consultaProcessual/processo.php?proc=77863920104013603&amp;secao=SNO&amp;pg=1&amp;trf1_captcha_id=56fa6763ffbf2d8f5281426697c6de6a&amp;trf1_captcha=bjh8&amp;enviar=Pesquisar","Clique aqui")</f>
        <v>Clique aqui</v>
      </c>
      <c r="K15" s="14"/>
      <c r="L15" s="14"/>
      <c r="M15" s="14"/>
      <c r="N15" s="14"/>
      <c r="O15" s="14"/>
      <c r="P15" s="14"/>
      <c r="Q15" s="14"/>
      <c r="R15" s="14"/>
      <c r="S15" s="14"/>
      <c r="T15" s="14"/>
      <c r="U15" s="14"/>
      <c r="V15" s="14"/>
      <c r="W15" s="14"/>
      <c r="X15" s="14"/>
      <c r="Y15" s="14"/>
      <c r="Z15" s="14"/>
      <c r="AA15" s="14"/>
      <c r="AB15" s="14"/>
    </row>
    <row r="16" spans="1:28" ht="37.5">
      <c r="A16" s="93"/>
      <c r="B16" s="93"/>
      <c r="C16" s="93"/>
      <c r="D16" s="93"/>
      <c r="E16" s="93"/>
      <c r="F16" s="93"/>
      <c r="G16" s="93"/>
      <c r="H16" s="35" t="s">
        <v>63</v>
      </c>
      <c r="I16" s="30" t="str">
        <f>HYPERLINK("www.mpf.mp.br/pa/sala-de-imprensa/documentos/2017/processos-usinas-tapajos-e-teles-pires/7786-39-2010-4-01.3603/suspensao-de-seguranca.pdf/at_download/file","Suspensão")</f>
        <v>Suspensão</v>
      </c>
      <c r="J16" s="93"/>
      <c r="K16" s="14"/>
      <c r="L16" s="14"/>
      <c r="M16" s="14"/>
      <c r="N16" s="14"/>
      <c r="O16" s="14"/>
      <c r="P16" s="14"/>
      <c r="Q16" s="14"/>
      <c r="R16" s="14"/>
      <c r="S16" s="14"/>
      <c r="T16" s="14"/>
      <c r="U16" s="14"/>
      <c r="V16" s="14"/>
      <c r="W16" s="14"/>
      <c r="X16" s="14"/>
      <c r="Y16" s="14"/>
      <c r="Z16" s="14"/>
      <c r="AA16" s="14"/>
      <c r="AB16" s="14"/>
    </row>
    <row r="17" spans="1:28" ht="18.75">
      <c r="A17" s="93"/>
      <c r="B17" s="93"/>
      <c r="C17" s="93"/>
      <c r="D17" s="93"/>
      <c r="E17" s="93"/>
      <c r="F17" s="93"/>
      <c r="G17" s="93"/>
      <c r="H17" s="35" t="s">
        <v>65</v>
      </c>
      <c r="I17" s="30" t="str">
        <f>HYPERLINK("www.mpf.mp.br/pa/sala-de-imprensa/documentos/2017/processos-usinas-tapajos-e-teles-pires/7786-39-2010-4-01.3603/sentenca_acp_paralisacao_licenciamento_usinas_teles_pires_colid.pdf/at_download/file","Sentença")</f>
        <v>Sentença</v>
      </c>
      <c r="J17" s="94"/>
      <c r="K17" s="14"/>
      <c r="L17" s="14"/>
      <c r="M17" s="14"/>
      <c r="N17" s="14"/>
      <c r="O17" s="14"/>
      <c r="P17" s="14"/>
      <c r="Q17" s="14"/>
      <c r="R17" s="14"/>
      <c r="S17" s="14"/>
      <c r="T17" s="14"/>
      <c r="U17" s="14"/>
      <c r="V17" s="14"/>
      <c r="W17" s="14"/>
      <c r="X17" s="14"/>
      <c r="Y17" s="14"/>
      <c r="Z17" s="14"/>
      <c r="AA17" s="14"/>
      <c r="AB17" s="14"/>
    </row>
    <row r="18" spans="1:28" ht="18.75">
      <c r="A18" s="94"/>
      <c r="B18" s="94"/>
      <c r="C18" s="94"/>
      <c r="D18" s="94"/>
      <c r="E18" s="94"/>
      <c r="F18" s="94"/>
      <c r="G18" s="94"/>
      <c r="H18" s="39" t="s">
        <v>66</v>
      </c>
      <c r="I18" s="40" t="str">
        <f>HYPERLINK("http://arquivo.trf1.gov.br/AGText/2010/0007700/00077863920104013603_3.doc","Acórdão")</f>
        <v>Acórdão</v>
      </c>
      <c r="J18" s="41" t="str">
        <f>HYPERLINK("http://processual.trf1.jus.br/consultaProcessual/processo.php?proc=00077863920104013603&amp;secao=TRF1&amp;pg=1&amp;enviar=Pesquisar","Clique aqui")</f>
        <v>Clique aqui</v>
      </c>
      <c r="K18" s="14"/>
      <c r="L18" s="14"/>
      <c r="M18" s="14"/>
      <c r="N18" s="14"/>
      <c r="O18" s="14"/>
      <c r="P18" s="14"/>
      <c r="Q18" s="14"/>
      <c r="R18" s="14"/>
      <c r="S18" s="14"/>
      <c r="T18" s="14"/>
      <c r="U18" s="14"/>
      <c r="V18" s="14"/>
      <c r="W18" s="14"/>
      <c r="X18" s="14"/>
      <c r="Y18" s="14"/>
      <c r="Z18" s="14"/>
      <c r="AA18" s="14"/>
      <c r="AB18" s="14"/>
    </row>
    <row r="19" spans="1:28" ht="18.75">
      <c r="A19" s="95">
        <v>5</v>
      </c>
      <c r="B19" s="95" t="s">
        <v>68</v>
      </c>
      <c r="C19" s="109" t="s">
        <v>69</v>
      </c>
      <c r="D19" s="95" t="s">
        <v>70</v>
      </c>
      <c r="E19" s="95" t="s">
        <v>72</v>
      </c>
      <c r="F19" s="107" t="str">
        <f>HYPERLINK("www.mpf.mp.br/pa/sala-de-imprensa/documentos/2017/processos-usinas-tapajos-e-teles-pires/33146-55-2010-4-01.3900/acp-teles-pires.pdf/at_download/file","Clique aqui")</f>
        <v>Clique aqui</v>
      </c>
      <c r="G19" s="95" t="s">
        <v>73</v>
      </c>
      <c r="H19" s="11" t="s">
        <v>75</v>
      </c>
      <c r="I19" s="13" t="str">
        <f>HYPERLINK("http://www.prpa.mpf.mp.br/news/2014/arquivos/Liminar%20UHE%20Sinop%20Eia%20Irregular.pdf/at_download/file","Liminar")</f>
        <v>Liminar</v>
      </c>
      <c r="J19" s="98" t="str">
        <f>HYPERLINK("http://processual.trf1.jus.br/consultaProcessual/processo.php?secao=PA&amp;proc=00331465520104013900","Clique aqui")</f>
        <v>Clique aqui</v>
      </c>
      <c r="K19" s="14"/>
      <c r="L19" s="14"/>
      <c r="M19" s="14"/>
      <c r="N19" s="14"/>
      <c r="O19" s="14"/>
      <c r="P19" s="14"/>
      <c r="Q19" s="14"/>
      <c r="R19" s="14"/>
      <c r="S19" s="14"/>
      <c r="T19" s="14"/>
      <c r="U19" s="14"/>
      <c r="V19" s="14"/>
      <c r="W19" s="14"/>
      <c r="X19" s="14"/>
      <c r="Y19" s="14"/>
      <c r="Z19" s="14"/>
      <c r="AA19" s="14"/>
      <c r="AB19" s="14"/>
    </row>
    <row r="20" spans="1:28" ht="56.25">
      <c r="A20" s="93"/>
      <c r="B20" s="93"/>
      <c r="C20" s="93"/>
      <c r="D20" s="93"/>
      <c r="E20" s="93"/>
      <c r="F20" s="93"/>
      <c r="G20" s="93"/>
      <c r="H20" s="15" t="s">
        <v>76</v>
      </c>
      <c r="I20" s="17" t="str">
        <f>HYPERLINK("http://www.prpa.mpf.mp.br/news/2014/arquivos/suspensao.doc/at_download/file","Suspensão")</f>
        <v>Suspensão</v>
      </c>
      <c r="J20" s="93"/>
      <c r="K20" s="14"/>
      <c r="L20" s="14"/>
      <c r="M20" s="14"/>
      <c r="N20" s="14"/>
      <c r="O20" s="14"/>
      <c r="P20" s="14"/>
      <c r="Q20" s="14"/>
      <c r="R20" s="14"/>
      <c r="S20" s="14"/>
      <c r="T20" s="14"/>
      <c r="U20" s="14"/>
      <c r="V20" s="14"/>
      <c r="W20" s="14"/>
      <c r="X20" s="14"/>
      <c r="Y20" s="14"/>
      <c r="Z20" s="14"/>
      <c r="AA20" s="14"/>
      <c r="AB20" s="14"/>
    </row>
    <row r="21" spans="1:28" ht="18.75">
      <c r="A21" s="93"/>
      <c r="B21" s="93"/>
      <c r="C21" s="93"/>
      <c r="D21" s="93"/>
      <c r="E21" s="93"/>
      <c r="F21" s="93"/>
      <c r="G21" s="93"/>
      <c r="H21" s="15" t="s">
        <v>78</v>
      </c>
      <c r="I21" s="17" t="str">
        <f>HYPERLINK("http://www.prpa.mpf.mp.br/news/2015/arquivos/Sentenca%20Negando.pdf/at_download/file","Sentença")</f>
        <v>Sentença</v>
      </c>
      <c r="J21" s="93"/>
      <c r="K21" s="14"/>
      <c r="L21" s="14"/>
      <c r="M21" s="14"/>
      <c r="N21" s="14"/>
      <c r="O21" s="14"/>
      <c r="P21" s="14"/>
      <c r="Q21" s="14"/>
      <c r="R21" s="14"/>
      <c r="S21" s="14"/>
      <c r="T21" s="14"/>
      <c r="U21" s="14"/>
      <c r="V21" s="14"/>
      <c r="W21" s="14"/>
      <c r="X21" s="14"/>
      <c r="Y21" s="14"/>
      <c r="Z21" s="14"/>
      <c r="AA21" s="14"/>
      <c r="AB21" s="14"/>
    </row>
    <row r="22" spans="1:28" ht="20.25" customHeight="1">
      <c r="A22" s="94"/>
      <c r="B22" s="94"/>
      <c r="C22" s="94"/>
      <c r="D22" s="94"/>
      <c r="E22" s="94"/>
      <c r="F22" s="94"/>
      <c r="G22" s="94"/>
      <c r="H22" s="20" t="s">
        <v>79</v>
      </c>
      <c r="I22" s="21"/>
      <c r="J22" s="94"/>
      <c r="K22" s="14"/>
      <c r="L22" s="14"/>
      <c r="M22" s="14"/>
      <c r="N22" s="14"/>
      <c r="O22" s="14"/>
      <c r="P22" s="14"/>
      <c r="Q22" s="14"/>
      <c r="R22" s="14"/>
      <c r="S22" s="14"/>
      <c r="T22" s="14"/>
      <c r="U22" s="14"/>
      <c r="V22" s="14"/>
      <c r="W22" s="14"/>
      <c r="X22" s="14"/>
      <c r="Y22" s="14"/>
      <c r="Z22" s="14"/>
      <c r="AA22" s="14"/>
      <c r="AB22" s="14"/>
    </row>
    <row r="23" spans="1:28" ht="18.75">
      <c r="A23" s="92">
        <v>6</v>
      </c>
      <c r="B23" s="92" t="s">
        <v>80</v>
      </c>
      <c r="C23" s="108" t="s">
        <v>69</v>
      </c>
      <c r="D23" s="92" t="s">
        <v>82</v>
      </c>
      <c r="E23" s="92" t="s">
        <v>83</v>
      </c>
      <c r="F23" s="96" t="str">
        <f>HYPERLINK("http://www.prpa.mpf.mp.br/news/2014/arquivos/7742-83.2011.4.01.3603.pdf/at_download/file","Clique aqui")</f>
        <v>Clique aqui</v>
      </c>
      <c r="G23" s="92" t="s">
        <v>33</v>
      </c>
      <c r="H23" s="25" t="s">
        <v>86</v>
      </c>
      <c r="I23" s="38" t="s">
        <v>59</v>
      </c>
      <c r="J23" s="96" t="str">
        <f>HYPERLINK("http://processual.trf1.jus.br/consultaProcessual/processo.php?trf1_captcha_id=9cbaa2e780ebf448910d53a2cfbde506&amp;trf1_captcha=wqfb&amp;enviar=Pesquisar&amp;proc=77428320114013603&amp;secao=SNO","Clique aqui")</f>
        <v>Clique aqui</v>
      </c>
      <c r="K23" s="14"/>
      <c r="L23" s="14"/>
      <c r="M23" s="14"/>
      <c r="N23" s="14"/>
      <c r="O23" s="14"/>
      <c r="P23" s="14"/>
      <c r="Q23" s="14"/>
      <c r="R23" s="14"/>
      <c r="S23" s="14"/>
      <c r="T23" s="14"/>
      <c r="U23" s="14"/>
      <c r="V23" s="14"/>
      <c r="W23" s="14"/>
      <c r="X23" s="14"/>
      <c r="Y23" s="14"/>
      <c r="Z23" s="14"/>
      <c r="AA23" s="14"/>
      <c r="AB23" s="14"/>
    </row>
    <row r="24" spans="1:28" ht="18.75">
      <c r="A24" s="93"/>
      <c r="B24" s="93"/>
      <c r="C24" s="93"/>
      <c r="D24" s="93"/>
      <c r="E24" s="93"/>
      <c r="F24" s="93"/>
      <c r="G24" s="93"/>
      <c r="H24" s="35" t="s">
        <v>88</v>
      </c>
      <c r="I24" s="30" t="str">
        <f>HYPERLINK("http://www.prpa.mpf.mp.br/news/2014/arquivos/Sentenca%20Improcedente%20UHE%20Teles%20Pires%20Irregularidades%20Formais.pdf/view","Sentença")</f>
        <v>Sentença</v>
      </c>
      <c r="J24" s="93"/>
      <c r="K24" s="14"/>
      <c r="L24" s="14"/>
      <c r="M24" s="14"/>
      <c r="N24" s="14"/>
      <c r="O24" s="14"/>
      <c r="P24" s="14"/>
      <c r="Q24" s="14"/>
      <c r="R24" s="14"/>
      <c r="S24" s="14"/>
      <c r="T24" s="14"/>
      <c r="U24" s="14"/>
      <c r="V24" s="14"/>
      <c r="W24" s="14"/>
      <c r="X24" s="14"/>
      <c r="Y24" s="14"/>
      <c r="Z24" s="14"/>
      <c r="AA24" s="14"/>
      <c r="AB24" s="14"/>
    </row>
    <row r="25" spans="1:28" ht="81" customHeight="1">
      <c r="A25" s="94"/>
      <c r="B25" s="94"/>
      <c r="C25" s="94"/>
      <c r="D25" s="94"/>
      <c r="E25" s="94"/>
      <c r="F25" s="94"/>
      <c r="G25" s="94"/>
      <c r="H25" s="36" t="s">
        <v>89</v>
      </c>
      <c r="I25" s="44"/>
      <c r="J25" s="94"/>
      <c r="K25" s="14"/>
      <c r="L25" s="14"/>
      <c r="M25" s="14"/>
      <c r="N25" s="14"/>
      <c r="O25" s="14"/>
      <c r="P25" s="14"/>
      <c r="Q25" s="14"/>
      <c r="R25" s="14"/>
      <c r="S25" s="14"/>
      <c r="T25" s="14"/>
      <c r="U25" s="14"/>
      <c r="V25" s="14"/>
      <c r="W25" s="14"/>
      <c r="X25" s="14"/>
      <c r="Y25" s="14"/>
      <c r="Z25" s="14"/>
      <c r="AA25" s="14"/>
      <c r="AB25" s="14"/>
    </row>
    <row r="26" spans="1:28" ht="18.75">
      <c r="A26" s="95">
        <v>7</v>
      </c>
      <c r="B26" s="95" t="s">
        <v>92</v>
      </c>
      <c r="C26" s="109" t="s">
        <v>69</v>
      </c>
      <c r="D26" s="95" t="s">
        <v>93</v>
      </c>
      <c r="E26" s="95" t="s">
        <v>94</v>
      </c>
      <c r="F26" s="98" t="str">
        <f>HYPERLINK("http://www.prpa.mpf.mp.br/news/2014/arquivos/acp_Teles%20Pires_Consulta.Final.doc/at_download/file","Clique aqui")</f>
        <v>Clique aqui</v>
      </c>
      <c r="G26" s="95" t="s">
        <v>96</v>
      </c>
      <c r="H26" s="11" t="s">
        <v>97</v>
      </c>
      <c r="I26" s="13" t="str">
        <f>HYPERLINK("http://www.prpa.mpf.mp.br/news/2014/arquivos/Liminar%20ECI%20UHE%20Teles%20Pires.pdf/at_download/file","Liminar")</f>
        <v>Liminar</v>
      </c>
      <c r="J26" s="98" t="str">
        <f>HYPERLINK("http://processual.trf1.jus.br/consultaProcessual/processo.php?proc=39474420124013600&amp;secao=MT&amp;pg=1&amp;enviar=Pesquisar","Clique aqui")</f>
        <v>Clique aqui</v>
      </c>
      <c r="K26" s="14"/>
      <c r="L26" s="14"/>
      <c r="M26" s="14"/>
      <c r="N26" s="14"/>
      <c r="O26" s="14"/>
      <c r="P26" s="14"/>
      <c r="Q26" s="14"/>
      <c r="R26" s="14"/>
      <c r="S26" s="14"/>
      <c r="T26" s="14"/>
      <c r="U26" s="14"/>
      <c r="V26" s="14"/>
      <c r="W26" s="14"/>
      <c r="X26" s="14"/>
      <c r="Y26" s="14"/>
      <c r="Z26" s="14"/>
      <c r="AA26" s="14"/>
      <c r="AB26" s="14"/>
    </row>
    <row r="27" spans="1:28" ht="37.5">
      <c r="A27" s="93"/>
      <c r="B27" s="93"/>
      <c r="C27" s="93"/>
      <c r="D27" s="93"/>
      <c r="E27" s="93"/>
      <c r="F27" s="93"/>
      <c r="G27" s="93"/>
      <c r="H27" s="15" t="s">
        <v>99</v>
      </c>
      <c r="I27" s="17" t="str">
        <f>HYPERLINK("http://www.prpa.mpf.mp.br/news/2014/arquivos/Suspensao_Liminar.pdf/view","Suspensão 1")</f>
        <v>Suspensão 1</v>
      </c>
      <c r="J27" s="93"/>
      <c r="K27" s="14"/>
      <c r="L27" s="14"/>
      <c r="M27" s="14"/>
      <c r="N27" s="14"/>
      <c r="O27" s="14"/>
      <c r="P27" s="14"/>
      <c r="Q27" s="14"/>
      <c r="R27" s="14"/>
      <c r="S27" s="14"/>
      <c r="T27" s="14"/>
      <c r="U27" s="14"/>
      <c r="V27" s="14"/>
      <c r="W27" s="14"/>
      <c r="X27" s="14"/>
      <c r="Y27" s="14"/>
      <c r="Z27" s="14"/>
      <c r="AA27" s="14"/>
      <c r="AB27" s="14"/>
    </row>
    <row r="28" spans="1:28" ht="18.75">
      <c r="A28" s="93"/>
      <c r="B28" s="93"/>
      <c r="C28" s="93"/>
      <c r="D28" s="93"/>
      <c r="E28" s="93"/>
      <c r="F28" s="93"/>
      <c r="G28" s="93"/>
      <c r="H28" s="18" t="s">
        <v>100</v>
      </c>
      <c r="I28" s="19" t="str">
        <f>HYPERLINK("http://www.prpa.mpf.mp.br/news/2015/arquivos/Sentenca%20Pedido%20Procedente.pdf/at_download/file","Sentença")</f>
        <v>Sentença</v>
      </c>
      <c r="J28" s="93"/>
      <c r="K28" s="14"/>
      <c r="L28" s="14"/>
      <c r="M28" s="14"/>
      <c r="N28" s="14"/>
      <c r="O28" s="14"/>
      <c r="P28" s="14"/>
      <c r="Q28" s="14"/>
      <c r="R28" s="14"/>
      <c r="S28" s="14"/>
      <c r="T28" s="14"/>
      <c r="U28" s="14"/>
      <c r="V28" s="14"/>
      <c r="W28" s="14"/>
      <c r="X28" s="14"/>
      <c r="Y28" s="14"/>
      <c r="Z28" s="14"/>
      <c r="AA28" s="14"/>
      <c r="AB28" s="14"/>
    </row>
    <row r="29" spans="1:28" ht="18.75">
      <c r="A29" s="94"/>
      <c r="B29" s="94"/>
      <c r="C29" s="94"/>
      <c r="D29" s="94"/>
      <c r="E29" s="94"/>
      <c r="F29" s="94"/>
      <c r="G29" s="94"/>
      <c r="H29" s="16" t="s">
        <v>101</v>
      </c>
      <c r="I29" s="46" t="str">
        <f>HYPERLINK("http://arquivo.trf1.jus.br/AGText/2012/0003900/00039474420124013600_3.doc","Acórdão")</f>
        <v>Acórdão</v>
      </c>
      <c r="J29" s="94"/>
      <c r="K29" s="14"/>
      <c r="L29" s="14"/>
      <c r="M29" s="14"/>
      <c r="N29" s="14"/>
      <c r="O29" s="14"/>
      <c r="P29" s="14"/>
      <c r="Q29" s="14"/>
      <c r="R29" s="14"/>
      <c r="S29" s="14"/>
      <c r="T29" s="14"/>
      <c r="U29" s="14"/>
      <c r="V29" s="14"/>
      <c r="W29" s="14"/>
      <c r="X29" s="14"/>
      <c r="Y29" s="14"/>
      <c r="Z29" s="14"/>
      <c r="AA29" s="14"/>
      <c r="AB29" s="14"/>
    </row>
    <row r="30" spans="1:28" ht="37.5">
      <c r="A30" s="92">
        <v>8</v>
      </c>
      <c r="B30" s="92" t="s">
        <v>103</v>
      </c>
      <c r="C30" s="108" t="s">
        <v>69</v>
      </c>
      <c r="D30" s="92" t="s">
        <v>104</v>
      </c>
      <c r="E30" s="92" t="s">
        <v>105</v>
      </c>
      <c r="F30" s="96" t="str">
        <f>HYPERLINK("http://www.prpa.mpf.mp.br/news/2014/arquivos/acp_Teles%20Pires_Componente_Formatada.pdf/at_download/file","Clique aqui")</f>
        <v>Clique aqui</v>
      </c>
      <c r="G30" s="92" t="s">
        <v>96</v>
      </c>
      <c r="H30" s="25" t="s">
        <v>107</v>
      </c>
      <c r="I30" s="26" t="str">
        <f>HYPERLINK("http://www.prpa.mpf.mp.br/news/2014/arquivos/Sentenca%20Sem%20Exame%20do%20Merito%20Litispendencia%20ACP%20Eia%20Irregular.pdf/view","Sentença")</f>
        <v>Sentença</v>
      </c>
      <c r="J30" s="96" t="str">
        <f>HYPERLINK("http://processual.trf1.jus.br/consultaProcessual/processo.php?proc=00058918120124013600&amp;secao=MT&amp;pg=1&amp;trf1_captcha_id=c048c2723cfc295675ab7d81d7d37d78&amp;trf1_captcha=jq4s&amp;enviar=Pesquisar","Clique aqui")</f>
        <v>Clique aqui</v>
      </c>
      <c r="K30" s="14"/>
      <c r="L30" s="14"/>
      <c r="M30" s="14"/>
      <c r="N30" s="14"/>
      <c r="O30" s="14"/>
      <c r="P30" s="14"/>
      <c r="Q30" s="14"/>
      <c r="R30" s="14"/>
      <c r="S30" s="14"/>
      <c r="T30" s="14"/>
      <c r="U30" s="14"/>
      <c r="V30" s="14"/>
      <c r="W30" s="14"/>
      <c r="X30" s="14"/>
      <c r="Y30" s="14"/>
      <c r="Z30" s="14"/>
      <c r="AA30" s="14"/>
      <c r="AB30" s="14"/>
    </row>
    <row r="31" spans="1:28" ht="56.25">
      <c r="A31" s="93"/>
      <c r="B31" s="93"/>
      <c r="C31" s="93"/>
      <c r="D31" s="93"/>
      <c r="E31" s="93"/>
      <c r="F31" s="93"/>
      <c r="G31" s="93"/>
      <c r="H31" s="35" t="s">
        <v>110</v>
      </c>
      <c r="I31" s="30" t="str">
        <f>HYPERLINK("http://www.prpa.mpf.mp.br/news/2013/arquivos/Decisao%20Teles%20Pires_Antecipacao_Tutela_TRF.pdf/view?searchterm=componente%20indígena%20teles%20pires","Decisão")</f>
        <v>Decisão</v>
      </c>
      <c r="J31" s="93"/>
      <c r="K31" s="14"/>
      <c r="L31" s="14"/>
      <c r="M31" s="14"/>
      <c r="N31" s="14"/>
      <c r="O31" s="14"/>
      <c r="P31" s="14"/>
      <c r="Q31" s="14"/>
      <c r="R31" s="14"/>
      <c r="S31" s="14"/>
      <c r="T31" s="14"/>
      <c r="U31" s="14"/>
      <c r="V31" s="14"/>
      <c r="W31" s="14"/>
      <c r="X31" s="14"/>
      <c r="Y31" s="14"/>
      <c r="Z31" s="14"/>
      <c r="AA31" s="14"/>
      <c r="AB31" s="14"/>
    </row>
    <row r="32" spans="1:28" ht="39" customHeight="1">
      <c r="A32" s="93"/>
      <c r="B32" s="93"/>
      <c r="C32" s="93"/>
      <c r="D32" s="93"/>
      <c r="E32" s="93"/>
      <c r="F32" s="93"/>
      <c r="G32" s="93"/>
      <c r="H32" s="35" t="s">
        <v>112</v>
      </c>
      <c r="I32" s="30" t="str">
        <f>HYPERLINK("http://www.prpa.mpf.mp.br/news/2013/arquivos/Suspensao%20Pos%20Decisao%20Monocratica.doc/view","Suspensão 2")</f>
        <v>Suspensão 2</v>
      </c>
      <c r="J32" s="93"/>
      <c r="K32" s="14"/>
      <c r="L32" s="14"/>
      <c r="M32" s="14"/>
      <c r="N32" s="14"/>
      <c r="O32" s="14"/>
      <c r="P32" s="14"/>
      <c r="Q32" s="14"/>
      <c r="R32" s="14"/>
      <c r="S32" s="14"/>
      <c r="T32" s="14"/>
      <c r="U32" s="14"/>
      <c r="V32" s="14"/>
      <c r="W32" s="14"/>
      <c r="X32" s="14"/>
      <c r="Y32" s="14"/>
      <c r="Z32" s="14"/>
      <c r="AA32" s="14"/>
      <c r="AB32" s="14"/>
    </row>
    <row r="33" spans="1:28" ht="39" customHeight="1">
      <c r="A33" s="93"/>
      <c r="B33" s="93"/>
      <c r="C33" s="93"/>
      <c r="D33" s="93"/>
      <c r="E33" s="93"/>
      <c r="F33" s="93"/>
      <c r="G33" s="93"/>
      <c r="H33" s="35" t="s">
        <v>113</v>
      </c>
      <c r="I33" s="30" t="str">
        <f>HYPERLINK("http://www.prpa.mpf.mp.br/news/2014/arquivos/Acordao%20Apelacao.doc/view","Acórdão")</f>
        <v>Acórdão</v>
      </c>
      <c r="J33" s="93"/>
      <c r="K33" s="14"/>
      <c r="L33" s="14"/>
      <c r="M33" s="14"/>
      <c r="N33" s="14"/>
      <c r="O33" s="14"/>
      <c r="P33" s="14"/>
      <c r="Q33" s="14"/>
      <c r="R33" s="14"/>
      <c r="S33" s="14"/>
      <c r="T33" s="14"/>
      <c r="U33" s="14"/>
      <c r="V33" s="14"/>
      <c r="W33" s="14"/>
      <c r="X33" s="14"/>
      <c r="Y33" s="14"/>
      <c r="Z33" s="14"/>
      <c r="AA33" s="14"/>
      <c r="AB33" s="14"/>
    </row>
    <row r="34" spans="1:28" ht="37.5">
      <c r="A34" s="93"/>
      <c r="B34" s="93"/>
      <c r="C34" s="93"/>
      <c r="D34" s="93"/>
      <c r="E34" s="93"/>
      <c r="F34" s="93"/>
      <c r="G34" s="93"/>
      <c r="H34" s="35" t="s">
        <v>115</v>
      </c>
      <c r="I34" s="30" t="str">
        <f>HYPERLINK("http://www.prpa.mpf.mp.br/news/2014/arquivos/Acordao%20Agravo%20Regimental%20Anula%20LI.doc/at_download/file","Acórdão")</f>
        <v>Acórdão</v>
      </c>
      <c r="J34" s="93"/>
      <c r="K34" s="14"/>
      <c r="L34" s="14"/>
      <c r="M34" s="14"/>
      <c r="N34" s="14"/>
      <c r="O34" s="14"/>
      <c r="P34" s="14"/>
      <c r="Q34" s="14"/>
      <c r="R34" s="14"/>
      <c r="S34" s="14"/>
      <c r="T34" s="14"/>
      <c r="U34" s="14"/>
      <c r="V34" s="14"/>
      <c r="W34" s="14"/>
      <c r="X34" s="14"/>
      <c r="Y34" s="14"/>
      <c r="Z34" s="14"/>
      <c r="AA34" s="14"/>
      <c r="AB34" s="14"/>
    </row>
    <row r="35" spans="1:28" ht="56.25">
      <c r="A35" s="93"/>
      <c r="B35" s="93"/>
      <c r="C35" s="93"/>
      <c r="D35" s="93"/>
      <c r="E35" s="93"/>
      <c r="F35" s="93"/>
      <c r="G35" s="93"/>
      <c r="H35" s="35" t="s">
        <v>119</v>
      </c>
      <c r="I35" s="30" t="str">
        <f>HYPERLINK("http://www.prpa.mpf.mp.br/news/2014/arquivos/Suspensao%20Pos%20Julgamento%20de%20Merito%20do%20Agravo.doc/view","Suspensão 3")</f>
        <v>Suspensão 3</v>
      </c>
      <c r="J35" s="93"/>
      <c r="K35" s="14"/>
      <c r="L35" s="14"/>
      <c r="M35" s="14"/>
      <c r="N35" s="14"/>
      <c r="O35" s="14"/>
      <c r="P35" s="14"/>
      <c r="Q35" s="14"/>
      <c r="R35" s="14"/>
      <c r="S35" s="14"/>
      <c r="T35" s="14"/>
      <c r="U35" s="14"/>
      <c r="V35" s="14"/>
      <c r="W35" s="14"/>
      <c r="X35" s="14"/>
      <c r="Y35" s="14"/>
      <c r="Z35" s="14"/>
      <c r="AA35" s="14"/>
      <c r="AB35" s="14"/>
    </row>
    <row r="36" spans="1:28" ht="37.5">
      <c r="A36" s="94"/>
      <c r="B36" s="94"/>
      <c r="C36" s="94"/>
      <c r="D36" s="94"/>
      <c r="E36" s="94"/>
      <c r="F36" s="94"/>
      <c r="G36" s="94"/>
      <c r="H36" s="36" t="s">
        <v>121</v>
      </c>
      <c r="I36" s="33" t="str">
        <f>HYPERLINK("http://www.stf.jus.br/portal/processo/verProcessoAndamento.asp?incidente=4470268","Suspensão 4")</f>
        <v>Suspensão 4</v>
      </c>
      <c r="J36" s="94"/>
      <c r="K36" s="14"/>
      <c r="L36" s="14"/>
      <c r="M36" s="14"/>
      <c r="N36" s="14"/>
      <c r="O36" s="14"/>
      <c r="P36" s="14"/>
      <c r="Q36" s="14"/>
      <c r="R36" s="14"/>
      <c r="S36" s="14"/>
      <c r="T36" s="14"/>
      <c r="U36" s="14"/>
      <c r="V36" s="14"/>
      <c r="W36" s="14"/>
      <c r="X36" s="14"/>
      <c r="Y36" s="14"/>
      <c r="Z36" s="14"/>
      <c r="AA36" s="14"/>
      <c r="AB36" s="14"/>
    </row>
    <row r="37" spans="1:28" ht="18.75">
      <c r="A37" s="95">
        <v>9</v>
      </c>
      <c r="B37" s="95" t="s">
        <v>123</v>
      </c>
      <c r="C37" s="104" t="s">
        <v>69</v>
      </c>
      <c r="D37" s="95" t="s">
        <v>125</v>
      </c>
      <c r="E37" s="95" t="s">
        <v>126</v>
      </c>
      <c r="F37" s="98" t="str">
        <f>HYPERLINK("http://www.prpa.mpf.mp.br/news/2014/arquivos/ACP_Agua%20potavel%20Indigena%20MT%20versao%20final.pdf/at_download/file","Clique aqui")</f>
        <v>Clique aqui</v>
      </c>
      <c r="G37" s="95" t="s">
        <v>127</v>
      </c>
      <c r="H37" s="11" t="s">
        <v>128</v>
      </c>
      <c r="I37" s="12"/>
      <c r="J37" s="98" t="str">
        <f>HYPERLINK("http://processual.trf1.jus.br/consultaProcessual/processo.php?proc=0090246320144013600&amp;secao=MT&amp;pg=1&amp;enviar=Pesquisar","Clique aqui")</f>
        <v>Clique aqui</v>
      </c>
      <c r="K37" s="14"/>
      <c r="L37" s="14"/>
      <c r="M37" s="14"/>
      <c r="N37" s="14"/>
      <c r="O37" s="14"/>
      <c r="P37" s="14"/>
      <c r="Q37" s="14"/>
      <c r="R37" s="14"/>
      <c r="S37" s="14"/>
      <c r="T37" s="14"/>
      <c r="U37" s="14"/>
      <c r="V37" s="14"/>
      <c r="W37" s="14"/>
      <c r="X37" s="14"/>
      <c r="Y37" s="14"/>
      <c r="Z37" s="14"/>
      <c r="AA37" s="14"/>
      <c r="AB37" s="14"/>
    </row>
    <row r="38" spans="1:28" ht="85.5" customHeight="1">
      <c r="A38" s="94"/>
      <c r="B38" s="94"/>
      <c r="C38" s="94"/>
      <c r="D38" s="94"/>
      <c r="E38" s="94"/>
      <c r="F38" s="94"/>
      <c r="G38" s="94"/>
      <c r="H38" s="20" t="s">
        <v>130</v>
      </c>
      <c r="I38" s="50" t="str">
        <f>HYPERLINK("http://processual.trf1.jus.br/consultaProcessual/processo.php?proc=491826220154010000&amp;secao=TRF1&amp;nome=&amp;mostrarBaixados=","Agravo")</f>
        <v>Agravo</v>
      </c>
      <c r="J38" s="94"/>
      <c r="K38" s="14"/>
      <c r="L38" s="14"/>
      <c r="M38" s="14"/>
      <c r="N38" s="14"/>
      <c r="O38" s="14"/>
      <c r="P38" s="14"/>
      <c r="Q38" s="14"/>
      <c r="R38" s="14"/>
      <c r="S38" s="14"/>
      <c r="T38" s="14"/>
      <c r="U38" s="14"/>
      <c r="V38" s="14"/>
      <c r="W38" s="14"/>
      <c r="X38" s="14"/>
      <c r="Y38" s="14"/>
      <c r="Z38" s="14"/>
      <c r="AA38" s="14"/>
      <c r="AB38" s="14"/>
    </row>
    <row r="39" spans="1:28" ht="150">
      <c r="A39" s="51">
        <v>10</v>
      </c>
      <c r="B39" s="51" t="s">
        <v>135</v>
      </c>
      <c r="C39" s="52" t="s">
        <v>69</v>
      </c>
      <c r="D39" s="51" t="s">
        <v>136</v>
      </c>
      <c r="E39" s="51" t="s">
        <v>137</v>
      </c>
      <c r="F39" s="41" t="str">
        <f>HYPERLINK("http://www.prpa.mpf.mp.br/news/2015/arquivos/ACP%20CHTP%20Termo%20de%20Compromisso.pdf/at_download/file","Clique aqui")</f>
        <v>Clique aqui</v>
      </c>
      <c r="G39" s="51" t="s">
        <v>139</v>
      </c>
      <c r="H39" s="51" t="s">
        <v>140</v>
      </c>
      <c r="I39" s="41" t="str">
        <f>HYPERLINK("http://www.prpa.mpf.mp.br/news/2015/arquivos/LIMINAR%20ACP%20UHE%2061424.pdf/at_download/file","Liminar")</f>
        <v>Liminar</v>
      </c>
      <c r="J39" s="41" t="str">
        <f>HYPERLINK("http://servicos.tjmt.jus.br/processos/comarcas/dadosProcessoPrint.aspx","Andamento Processual")</f>
        <v>Andamento Processual</v>
      </c>
      <c r="K39" s="14"/>
      <c r="L39" s="14"/>
      <c r="M39" s="14"/>
      <c r="N39" s="14"/>
      <c r="O39" s="14"/>
      <c r="P39" s="14"/>
      <c r="Q39" s="14"/>
      <c r="R39" s="14"/>
      <c r="S39" s="14"/>
      <c r="T39" s="14"/>
      <c r="U39" s="14"/>
      <c r="V39" s="14"/>
      <c r="W39" s="14"/>
      <c r="X39" s="14"/>
      <c r="Y39" s="14"/>
      <c r="Z39" s="14"/>
      <c r="AA39" s="14"/>
      <c r="AB39" s="14"/>
    </row>
    <row r="40" spans="1:28" ht="116.25" customHeight="1">
      <c r="A40" s="95">
        <v>11</v>
      </c>
      <c r="B40" s="95" t="s">
        <v>142</v>
      </c>
      <c r="C40" s="104" t="s">
        <v>69</v>
      </c>
      <c r="D40" s="95" t="s">
        <v>144</v>
      </c>
      <c r="E40" s="95" t="s">
        <v>145</v>
      </c>
      <c r="F40" s="113" t="s">
        <v>147</v>
      </c>
      <c r="G40" s="95" t="s">
        <v>149</v>
      </c>
      <c r="H40" s="53" t="s">
        <v>151</v>
      </c>
      <c r="I40" s="95" t="s">
        <v>59</v>
      </c>
      <c r="J40" s="98" t="str">
        <f>HYPERLINK("http://processual.trf1.jus.br/consultaProcessual/processo.php?proc=170603120134013600&amp;secao=MT&amp;pg=1&amp;enviar=Pesquisar","Clique aqui")</f>
        <v>Clique aqui</v>
      </c>
      <c r="K40" s="14"/>
      <c r="L40" s="14"/>
      <c r="M40" s="14"/>
      <c r="N40" s="14"/>
      <c r="O40" s="14"/>
      <c r="P40" s="14"/>
      <c r="Q40" s="14"/>
      <c r="R40" s="14"/>
      <c r="S40" s="14"/>
      <c r="T40" s="14"/>
      <c r="U40" s="14"/>
      <c r="V40" s="14"/>
      <c r="W40" s="14"/>
      <c r="X40" s="14"/>
      <c r="Y40" s="14"/>
      <c r="Z40" s="14"/>
      <c r="AA40" s="14"/>
      <c r="AB40" s="14"/>
    </row>
    <row r="41" spans="1:28" ht="18.75">
      <c r="A41" s="94"/>
      <c r="B41" s="94"/>
      <c r="C41" s="94"/>
      <c r="D41" s="94"/>
      <c r="E41" s="94"/>
      <c r="F41" s="94"/>
      <c r="G41" s="94"/>
      <c r="H41" s="54" t="s">
        <v>153</v>
      </c>
      <c r="I41" s="94"/>
      <c r="J41" s="94"/>
      <c r="K41" s="55"/>
      <c r="L41" s="55"/>
      <c r="M41" s="55"/>
      <c r="N41" s="55"/>
      <c r="O41" s="55"/>
      <c r="P41" s="55"/>
      <c r="Q41" s="55"/>
      <c r="R41" s="55"/>
      <c r="S41" s="55"/>
      <c r="T41" s="55"/>
      <c r="U41" s="55"/>
      <c r="V41" s="55"/>
      <c r="W41" s="55"/>
      <c r="X41" s="55"/>
      <c r="Y41" s="55"/>
      <c r="Z41" s="55"/>
      <c r="AA41" s="55"/>
      <c r="AB41" s="55"/>
    </row>
    <row r="42" spans="1:28" ht="18.75">
      <c r="A42" s="92">
        <v>12</v>
      </c>
      <c r="B42" s="92" t="s">
        <v>154</v>
      </c>
      <c r="C42" s="103" t="s">
        <v>156</v>
      </c>
      <c r="D42" s="92" t="s">
        <v>157</v>
      </c>
      <c r="E42" s="92" t="s">
        <v>159</v>
      </c>
      <c r="F42" s="96" t="str">
        <f>HYPERLINK("http://www.prpa.mpf.mp.br/news/2014/arquivos/ACP%20Audiencias%20Publicas%20Sao%20Manoel.pdf/at_download/file","Clique aqui")</f>
        <v>Clique aqui</v>
      </c>
      <c r="G42" s="92" t="s">
        <v>44</v>
      </c>
      <c r="H42" s="25" t="s">
        <v>163</v>
      </c>
      <c r="I42" s="38" t="s">
        <v>59</v>
      </c>
      <c r="J42" s="96" t="str">
        <f>HYPERLINK("http://processual.trf1.jus.br/consultaProcessual/processo.php?proc=69105020114013603&amp;secao=SNO&amp;pg=1&amp;trf1_captcha_id=af2da19a40296e83a7d2bf898c8d5f24&amp;trf1_captcha=n9gs&amp;enviar=Pesquisar","Clique aqui")</f>
        <v>Clique aqui</v>
      </c>
      <c r="K42" s="14"/>
      <c r="L42" s="14"/>
      <c r="M42" s="14"/>
      <c r="N42" s="14"/>
      <c r="O42" s="14"/>
      <c r="P42" s="14"/>
      <c r="Q42" s="14"/>
      <c r="R42" s="14"/>
      <c r="S42" s="14"/>
      <c r="T42" s="14"/>
      <c r="U42" s="14"/>
      <c r="V42" s="14"/>
      <c r="W42" s="14"/>
      <c r="X42" s="14"/>
      <c r="Y42" s="14"/>
      <c r="Z42" s="14"/>
      <c r="AA42" s="14"/>
      <c r="AB42" s="14"/>
    </row>
    <row r="43" spans="1:28" ht="37.5">
      <c r="A43" s="93"/>
      <c r="B43" s="93"/>
      <c r="C43" s="93"/>
      <c r="D43" s="93"/>
      <c r="E43" s="93"/>
      <c r="F43" s="93"/>
      <c r="G43" s="93"/>
      <c r="H43" s="35" t="s">
        <v>165</v>
      </c>
      <c r="I43" s="56" t="s">
        <v>166</v>
      </c>
      <c r="J43" s="93"/>
      <c r="K43" s="14"/>
      <c r="L43" s="14"/>
      <c r="M43" s="14"/>
      <c r="N43" s="14"/>
      <c r="O43" s="14"/>
      <c r="P43" s="14"/>
      <c r="Q43" s="14"/>
      <c r="R43" s="14"/>
      <c r="S43" s="14"/>
      <c r="T43" s="14"/>
      <c r="U43" s="14"/>
      <c r="V43" s="14"/>
      <c r="W43" s="14"/>
      <c r="X43" s="14"/>
      <c r="Y43" s="14"/>
      <c r="Z43" s="14"/>
      <c r="AA43" s="14"/>
      <c r="AB43" s="14"/>
    </row>
    <row r="44" spans="1:28" ht="18.75">
      <c r="A44" s="93"/>
      <c r="B44" s="93"/>
      <c r="C44" s="93"/>
      <c r="D44" s="93"/>
      <c r="E44" s="93"/>
      <c r="F44" s="93"/>
      <c r="G44" s="93"/>
      <c r="H44" s="35" t="s">
        <v>168</v>
      </c>
      <c r="I44" s="42"/>
      <c r="J44" s="93"/>
      <c r="K44" s="14"/>
      <c r="L44" s="14"/>
      <c r="M44" s="14"/>
      <c r="N44" s="14"/>
      <c r="O44" s="14"/>
      <c r="P44" s="14"/>
      <c r="Q44" s="14"/>
      <c r="R44" s="14"/>
      <c r="S44" s="14"/>
      <c r="T44" s="14"/>
      <c r="U44" s="14"/>
      <c r="V44" s="14"/>
      <c r="W44" s="14"/>
      <c r="X44" s="14"/>
      <c r="Y44" s="14"/>
      <c r="Z44" s="14"/>
      <c r="AA44" s="14"/>
      <c r="AB44" s="14"/>
    </row>
    <row r="45" spans="1:28" ht="37.5">
      <c r="A45" s="93"/>
      <c r="B45" s="93"/>
      <c r="C45" s="93"/>
      <c r="D45" s="93"/>
      <c r="E45" s="93"/>
      <c r="F45" s="93"/>
      <c r="G45" s="93"/>
      <c r="H45" s="35" t="s">
        <v>169</v>
      </c>
      <c r="I45" s="30" t="str">
        <f>HYPERLINK("http://pesquisa.in.gov.br/imprensa/jsp/visualiza/index.jsp?jornal=20&amp;pagina=848&amp;data=02/12/2013","Sentença")</f>
        <v>Sentença</v>
      </c>
      <c r="J45" s="93"/>
      <c r="K45" s="14"/>
      <c r="L45" s="14"/>
      <c r="M45" s="14"/>
      <c r="N45" s="14"/>
      <c r="O45" s="14"/>
      <c r="P45" s="14"/>
      <c r="Q45" s="14"/>
      <c r="R45" s="14"/>
      <c r="S45" s="14"/>
      <c r="T45" s="14"/>
      <c r="U45" s="14"/>
      <c r="V45" s="14"/>
      <c r="W45" s="14"/>
      <c r="X45" s="14"/>
      <c r="Y45" s="14"/>
      <c r="Z45" s="14"/>
      <c r="AA45" s="14"/>
      <c r="AB45" s="14"/>
    </row>
    <row r="46" spans="1:28" ht="18.75">
      <c r="A46" s="94"/>
      <c r="B46" s="94"/>
      <c r="C46" s="94"/>
      <c r="D46" s="94"/>
      <c r="E46" s="94"/>
      <c r="F46" s="94"/>
      <c r="G46" s="94"/>
      <c r="H46" s="36" t="s">
        <v>171</v>
      </c>
      <c r="I46" s="44"/>
      <c r="J46" s="94"/>
      <c r="K46" s="14"/>
      <c r="L46" s="14"/>
      <c r="M46" s="14"/>
      <c r="N46" s="14"/>
      <c r="O46" s="14"/>
      <c r="P46" s="14"/>
      <c r="Q46" s="14"/>
      <c r="R46" s="14"/>
      <c r="S46" s="14"/>
      <c r="T46" s="14"/>
      <c r="U46" s="14"/>
      <c r="V46" s="14"/>
      <c r="W46" s="14"/>
      <c r="X46" s="14"/>
      <c r="Y46" s="14"/>
      <c r="Z46" s="14"/>
      <c r="AA46" s="14"/>
      <c r="AB46" s="14"/>
    </row>
    <row r="47" spans="1:28" ht="37.5">
      <c r="A47" s="95">
        <v>13</v>
      </c>
      <c r="B47" s="95" t="s">
        <v>173</v>
      </c>
      <c r="C47" s="104" t="s">
        <v>156</v>
      </c>
      <c r="D47" s="95" t="s">
        <v>174</v>
      </c>
      <c r="E47" s="95" t="s">
        <v>159</v>
      </c>
      <c r="F47" s="112" t="s">
        <v>147</v>
      </c>
      <c r="G47" s="95" t="s">
        <v>127</v>
      </c>
      <c r="H47" s="11" t="s">
        <v>178</v>
      </c>
      <c r="I47" s="13" t="str">
        <f>HYPERLINK("http://www.prpa.mpf.mp.br/news/2014/arquivos/Decisao_liminar_UHE_Sao_Manuel_suspensao_audiencias_falta_componente_indigena.pdf/at_download/file","Liminar")</f>
        <v>Liminar</v>
      </c>
      <c r="J47" s="98" t="str">
        <f>HYPERLINK("http://processual.trf1.jus.br/consultaProcessual/processo.php?proc=138394020134013600&amp;secao=MT","Clique aqui")</f>
        <v>Clique aqui</v>
      </c>
      <c r="K47" s="14"/>
      <c r="L47" s="14"/>
      <c r="M47" s="14"/>
      <c r="N47" s="14"/>
      <c r="O47" s="14"/>
      <c r="P47" s="14"/>
      <c r="Q47" s="14"/>
      <c r="R47" s="14"/>
      <c r="S47" s="14"/>
      <c r="T47" s="14"/>
      <c r="U47" s="14"/>
      <c r="V47" s="14"/>
      <c r="W47" s="14"/>
      <c r="X47" s="14"/>
      <c r="Y47" s="14"/>
      <c r="Z47" s="14"/>
      <c r="AA47" s="14"/>
      <c r="AB47" s="14"/>
    </row>
    <row r="48" spans="1:28" ht="37.5">
      <c r="A48" s="93"/>
      <c r="B48" s="93"/>
      <c r="C48" s="93"/>
      <c r="D48" s="93"/>
      <c r="E48" s="93"/>
      <c r="F48" s="93"/>
      <c r="G48" s="93"/>
      <c r="H48" s="15" t="s">
        <v>180</v>
      </c>
      <c r="I48" s="17" t="str">
        <f>HYPERLINK("http://www.prpa.mpf.mp.br/news/2014/arquivos/Suspensao%20de%20Seguranca.pdf/at_download/file","Suspensão")</f>
        <v>Suspensão</v>
      </c>
      <c r="J48" s="93"/>
      <c r="K48" s="14"/>
      <c r="L48" s="14"/>
      <c r="M48" s="14"/>
      <c r="N48" s="14"/>
      <c r="O48" s="14"/>
      <c r="P48" s="14"/>
      <c r="Q48" s="14"/>
      <c r="R48" s="14"/>
      <c r="S48" s="14"/>
      <c r="T48" s="14"/>
      <c r="U48" s="14"/>
      <c r="V48" s="14"/>
      <c r="W48" s="14"/>
      <c r="X48" s="14"/>
      <c r="Y48" s="14"/>
      <c r="Z48" s="14"/>
      <c r="AA48" s="14"/>
      <c r="AB48" s="14"/>
    </row>
    <row r="49" spans="1:28" ht="37.5">
      <c r="A49" s="93"/>
      <c r="B49" s="93"/>
      <c r="C49" s="93"/>
      <c r="D49" s="93"/>
      <c r="E49" s="93"/>
      <c r="F49" s="93"/>
      <c r="G49" s="93"/>
      <c r="H49" s="20" t="s">
        <v>182</v>
      </c>
      <c r="I49" s="50" t="str">
        <f>HYPERLINK("http://www.prpa.mpf.mp.br/news/2015/arquivos/Sentenca%20ECI%20S%20Manoel.pdf/at_download/file","Sentença")</f>
        <v>Sentença</v>
      </c>
      <c r="J49" s="93"/>
      <c r="K49" s="14"/>
      <c r="L49" s="14"/>
      <c r="M49" s="14"/>
      <c r="N49" s="14"/>
      <c r="O49" s="14"/>
      <c r="P49" s="14"/>
      <c r="Q49" s="14"/>
      <c r="R49" s="14"/>
      <c r="S49" s="14"/>
      <c r="T49" s="14"/>
      <c r="U49" s="14"/>
      <c r="V49" s="14"/>
      <c r="W49" s="14"/>
      <c r="X49" s="14"/>
      <c r="Y49" s="14"/>
      <c r="Z49" s="14"/>
      <c r="AA49" s="14"/>
      <c r="AB49" s="14"/>
    </row>
    <row r="50" spans="1:28" ht="18.75">
      <c r="A50" s="94"/>
      <c r="B50" s="94"/>
      <c r="C50" s="94"/>
      <c r="D50" s="94"/>
      <c r="E50" s="94"/>
      <c r="F50" s="94"/>
      <c r="G50" s="94"/>
      <c r="H50" s="59" t="s">
        <v>184</v>
      </c>
      <c r="I50" s="60"/>
      <c r="J50" s="94"/>
      <c r="K50" s="55"/>
      <c r="L50" s="55"/>
      <c r="M50" s="55"/>
      <c r="N50" s="55"/>
      <c r="O50" s="55"/>
      <c r="P50" s="55"/>
      <c r="Q50" s="55"/>
      <c r="R50" s="55"/>
      <c r="S50" s="55"/>
      <c r="T50" s="55"/>
      <c r="U50" s="55"/>
      <c r="V50" s="55"/>
      <c r="W50" s="55"/>
      <c r="X50" s="55"/>
      <c r="Y50" s="55"/>
      <c r="Z50" s="55"/>
      <c r="AA50" s="55"/>
      <c r="AB50" s="55"/>
    </row>
    <row r="51" spans="1:28" ht="18.75">
      <c r="A51" s="92">
        <v>14</v>
      </c>
      <c r="B51" s="92" t="s">
        <v>187</v>
      </c>
      <c r="C51" s="103" t="s">
        <v>156</v>
      </c>
      <c r="D51" s="92" t="s">
        <v>189</v>
      </c>
      <c r="E51" s="92" t="s">
        <v>159</v>
      </c>
      <c r="F51" s="96" t="str">
        <f>HYPERLINK("http://www.prpa.mpf.mp.br/news/2014/arquivos/UHE%20Sao%20Manoel%20-%20Cautelar%20Incidental.pdf/at_download/file","Clique aqui")</f>
        <v>Clique aqui</v>
      </c>
      <c r="G51" s="92" t="s">
        <v>127</v>
      </c>
      <c r="H51" s="23" t="s">
        <v>191</v>
      </c>
      <c r="I51" s="24" t="str">
        <f>HYPERLINK("http://www.prpa.mpf.mp.br/news/2014/arquivos/UHE%20Sao%20Manoel%20Liminar.pdf/at_download/file","Liminar")</f>
        <v>Liminar</v>
      </c>
      <c r="J51" s="96" t="str">
        <f>HYPERLINK("http://processual.trf1.jus.br/consultaProcessual/processo.php?trf1_captcha_id=15bcab91715664ee8f315c764aa107c6&amp;trf1_captcha=3ps7&amp;enviar=Pesquisar&amp;proc=177652920134013600&amp;secao=MT","Clique aqui")</f>
        <v>Clique aqui</v>
      </c>
      <c r="K51" s="14"/>
      <c r="L51" s="14"/>
      <c r="M51" s="14"/>
      <c r="N51" s="14"/>
      <c r="O51" s="14"/>
      <c r="P51" s="14"/>
      <c r="Q51" s="14"/>
      <c r="R51" s="14"/>
      <c r="S51" s="14"/>
      <c r="T51" s="14"/>
      <c r="U51" s="14"/>
      <c r="V51" s="14"/>
      <c r="W51" s="14"/>
      <c r="X51" s="14"/>
      <c r="Y51" s="14"/>
      <c r="Z51" s="14"/>
      <c r="AA51" s="14"/>
      <c r="AB51" s="14"/>
    </row>
    <row r="52" spans="1:28" ht="56.25">
      <c r="A52" s="93"/>
      <c r="B52" s="93"/>
      <c r="C52" s="93"/>
      <c r="D52" s="93"/>
      <c r="E52" s="93"/>
      <c r="F52" s="93"/>
      <c r="G52" s="93"/>
      <c r="H52" s="62" t="s">
        <v>193</v>
      </c>
      <c r="I52" s="37" t="str">
        <f>HYPERLINK("http://www.prpa.mpf.mp.br/news/2014/arquivos/Decisao%20-%20SLS%20-%20UHE%20Sao%20Manoel.pdf/at_download/file","Suspensão")</f>
        <v>Suspensão</v>
      </c>
      <c r="J52" s="93"/>
      <c r="K52" s="14"/>
      <c r="L52" s="14"/>
      <c r="M52" s="14"/>
      <c r="N52" s="14"/>
      <c r="O52" s="14"/>
      <c r="P52" s="14"/>
      <c r="Q52" s="14"/>
      <c r="R52" s="14"/>
      <c r="S52" s="14"/>
      <c r="T52" s="14"/>
      <c r="U52" s="14"/>
      <c r="V52" s="14"/>
      <c r="W52" s="14"/>
      <c r="X52" s="14"/>
      <c r="Y52" s="14"/>
      <c r="Z52" s="14"/>
      <c r="AA52" s="14"/>
      <c r="AB52" s="14"/>
    </row>
    <row r="53" spans="1:28" ht="18.75">
      <c r="A53" s="94"/>
      <c r="B53" s="94"/>
      <c r="C53" s="94"/>
      <c r="D53" s="94"/>
      <c r="E53" s="94"/>
      <c r="F53" s="94"/>
      <c r="G53" s="94"/>
      <c r="H53" s="63" t="s">
        <v>195</v>
      </c>
      <c r="I53" s="64"/>
      <c r="J53" s="94"/>
      <c r="K53" s="14"/>
      <c r="L53" s="14"/>
      <c r="M53" s="14"/>
      <c r="N53" s="14"/>
      <c r="O53" s="14"/>
      <c r="P53" s="14"/>
      <c r="Q53" s="14"/>
      <c r="R53" s="14"/>
      <c r="S53" s="14"/>
      <c r="T53" s="14"/>
      <c r="U53" s="14"/>
      <c r="V53" s="14"/>
      <c r="W53" s="14"/>
      <c r="X53" s="14"/>
      <c r="Y53" s="14"/>
      <c r="Z53" s="14"/>
      <c r="AA53" s="14"/>
      <c r="AB53" s="14"/>
    </row>
    <row r="54" spans="1:28" ht="18.75">
      <c r="A54" s="95">
        <v>15</v>
      </c>
      <c r="B54" s="95" t="s">
        <v>198</v>
      </c>
      <c r="C54" s="104" t="s">
        <v>156</v>
      </c>
      <c r="D54" s="95" t="s">
        <v>200</v>
      </c>
      <c r="E54" s="95" t="s">
        <v>159</v>
      </c>
      <c r="F54" s="98" t="str">
        <f>HYPERLINK("http://www.prpa.mpf.mp.br/news/2014/arquivos/UHE%20Sao%20Manoel%20ACP%20Indios%20Isolados.pdf/view","Clique aqui")</f>
        <v>Clique aqui</v>
      </c>
      <c r="G54" s="95" t="s">
        <v>127</v>
      </c>
      <c r="H54" s="65" t="s">
        <v>202</v>
      </c>
      <c r="I54" s="13" t="str">
        <f>HYPERLINK("http://www.prpa.mpf.mp.br/news/2014/arquivos/liminar.isolados.pdf","Liminar")</f>
        <v>Liminar</v>
      </c>
      <c r="J54" s="98" t="str">
        <f>HYPERLINK("http://processual.trf1.jus.br/consultaProcessual/processo.php?proc=0176431620134013600&amp;secao=MT&amp;pg=1&amp;enviar=Pesquisar","Clique aqui")</f>
        <v>Clique aqui</v>
      </c>
      <c r="K54" s="14"/>
      <c r="L54" s="14"/>
      <c r="M54" s="14"/>
      <c r="N54" s="14"/>
      <c r="O54" s="14"/>
      <c r="P54" s="14"/>
      <c r="Q54" s="14"/>
      <c r="R54" s="14"/>
      <c r="S54" s="14"/>
      <c r="T54" s="14"/>
      <c r="U54" s="14"/>
      <c r="V54" s="14"/>
      <c r="W54" s="14"/>
      <c r="X54" s="14"/>
      <c r="Y54" s="14"/>
      <c r="Z54" s="14"/>
      <c r="AA54" s="14"/>
      <c r="AB54" s="14"/>
    </row>
    <row r="55" spans="1:28" ht="64.5" customHeight="1">
      <c r="A55" s="94"/>
      <c r="B55" s="94"/>
      <c r="C55" s="94"/>
      <c r="D55" s="94"/>
      <c r="E55" s="94"/>
      <c r="F55" s="94"/>
      <c r="G55" s="94"/>
      <c r="H55" s="20" t="s">
        <v>207</v>
      </c>
      <c r="I55" s="50" t="str">
        <f>HYPERLINK("http://www.prpa.mpf.mp.br/news/2014/arquivos/Suspensao%20UHE%20Sao%20Manoel%20ACP%20Indios%20Isolados.pdf/view","Suspensão")</f>
        <v>Suspensão</v>
      </c>
      <c r="J55" s="94"/>
      <c r="K55" s="14"/>
      <c r="L55" s="14"/>
      <c r="M55" s="14"/>
      <c r="N55" s="14"/>
      <c r="O55" s="14"/>
      <c r="P55" s="14"/>
      <c r="Q55" s="14"/>
      <c r="R55" s="14"/>
      <c r="S55" s="14"/>
      <c r="T55" s="14"/>
      <c r="U55" s="14"/>
      <c r="V55" s="14"/>
      <c r="W55" s="14"/>
      <c r="X55" s="14"/>
      <c r="Y55" s="14"/>
      <c r="Z55" s="14"/>
      <c r="AA55" s="14"/>
      <c r="AB55" s="14"/>
    </row>
    <row r="56" spans="1:28" ht="18.75">
      <c r="A56" s="92">
        <v>16</v>
      </c>
      <c r="B56" s="92" t="s">
        <v>209</v>
      </c>
      <c r="C56" s="103" t="s">
        <v>156</v>
      </c>
      <c r="D56" s="92" t="s">
        <v>211</v>
      </c>
      <c r="E56" s="92" t="s">
        <v>159</v>
      </c>
      <c r="F56" s="96" t="str">
        <f>HYPERLINK("http://www.prpa.mpf.mp.br/news/2014/arquivos/ACP_UHE_Sao_Manoel_direito_consulta_final_.pdf/view","Clique aqui")</f>
        <v>Clique aqui</v>
      </c>
      <c r="G56" s="92" t="s">
        <v>127</v>
      </c>
      <c r="H56" s="66" t="s">
        <v>212</v>
      </c>
      <c r="I56" s="26" t="str">
        <f>HYPERLINK("http://www.prpa.mpf.mp.br/news/2014/arquivos/liminar.consulta.pre301via.pdf","Liminar")</f>
        <v>Liminar</v>
      </c>
      <c r="J56" s="96" t="str">
        <f>HYPERLINK("http://processual.trf1.jus.br/consultaProcessual/processo.php?trf1_captcha_id=6e3a227eaec6f264f884bb4d85fd9845&amp;trf1_captcha=q85n&amp;enviar=Pesquisar&amp;proc=00141234820134013600&amp;secao=MT","Clique aqui")</f>
        <v>Clique aqui</v>
      </c>
      <c r="K56" s="14"/>
      <c r="L56" s="14"/>
      <c r="M56" s="14"/>
      <c r="N56" s="14"/>
      <c r="O56" s="14"/>
      <c r="P56" s="14"/>
      <c r="Q56" s="14"/>
      <c r="R56" s="14"/>
      <c r="S56" s="14"/>
      <c r="T56" s="14"/>
      <c r="U56" s="14"/>
      <c r="V56" s="14"/>
      <c r="W56" s="14"/>
      <c r="X56" s="14"/>
      <c r="Y56" s="14"/>
      <c r="Z56" s="14"/>
      <c r="AA56" s="14"/>
      <c r="AB56" s="14"/>
    </row>
    <row r="57" spans="1:28" ht="49.5" customHeight="1">
      <c r="A57" s="94"/>
      <c r="B57" s="94"/>
      <c r="C57" s="94"/>
      <c r="D57" s="94"/>
      <c r="E57" s="94"/>
      <c r="F57" s="94"/>
      <c r="G57" s="94"/>
      <c r="H57" s="36" t="s">
        <v>218</v>
      </c>
      <c r="I57" s="33" t="str">
        <f>HYPERLINK("http://www.prpa.mpf.mp.br/news/2014/arquivos/Suspensao%20de%20Seguranca%20ACP%20Consulta%20Previa%20S%20Manoel.pdf/at_download/file","Suspensão")</f>
        <v>Suspensão</v>
      </c>
      <c r="J57" s="94"/>
      <c r="K57" s="14"/>
      <c r="L57" s="14"/>
      <c r="M57" s="14"/>
      <c r="N57" s="14"/>
      <c r="O57" s="14"/>
      <c r="P57" s="14"/>
      <c r="Q57" s="14"/>
      <c r="R57" s="14"/>
      <c r="S57" s="14"/>
      <c r="T57" s="14"/>
      <c r="U57" s="14"/>
      <c r="V57" s="14"/>
      <c r="W57" s="14"/>
      <c r="X57" s="14"/>
      <c r="Y57" s="14"/>
      <c r="Z57" s="14"/>
      <c r="AA57" s="14"/>
      <c r="AB57" s="14"/>
    </row>
    <row r="58" spans="1:28" ht="157.5" customHeight="1">
      <c r="A58" s="95">
        <v>17</v>
      </c>
      <c r="B58" s="95" t="s">
        <v>220</v>
      </c>
      <c r="C58" s="104" t="s">
        <v>156</v>
      </c>
      <c r="D58" s="95" t="s">
        <v>221</v>
      </c>
      <c r="E58" s="95" t="s">
        <v>159</v>
      </c>
      <c r="F58" s="98" t="str">
        <f>HYPERLINK("http://www.prpa.mpf.mp.br/news/2014/arquivos/Minuta%20-%20ACP-%20Sao%20Manoel%20-%20UCs.pdf","Clique aqui")</f>
        <v>Clique aqui</v>
      </c>
      <c r="G58" s="95" t="s">
        <v>127</v>
      </c>
      <c r="H58" s="53" t="s">
        <v>225</v>
      </c>
      <c r="I58" s="67" t="str">
        <f>HYPERLINK("https://processual.trf1.jus.br/consultaProcessual/arquivo/abrir.php?tipo=fs&amp;nome=3d42d282a7e592bc7e8750ad09f336a5.pdf&amp;size=173603","Liminar")</f>
        <v>Liminar</v>
      </c>
      <c r="J58" s="67" t="str">
        <f>HYPERLINK("http://processual.trf1.jus.br/consultaProcessual/processo.php?trf1_captcha_id=c7ada527323f1ce7c3b1cefd25558727&amp;trf1_captcha=hb5c&amp;enviar=Pesquisar&amp;proc=160077820144013600&amp;secao=MT","Clique aqui")</f>
        <v>Clique aqui</v>
      </c>
      <c r="K58" s="14"/>
      <c r="L58" s="14"/>
      <c r="M58" s="14"/>
      <c r="N58" s="14"/>
      <c r="O58" s="14"/>
      <c r="P58" s="14"/>
      <c r="Q58" s="14"/>
      <c r="R58" s="14"/>
      <c r="S58" s="14"/>
      <c r="T58" s="14"/>
      <c r="U58" s="14"/>
      <c r="V58" s="14"/>
      <c r="W58" s="14"/>
      <c r="X58" s="14"/>
      <c r="Y58" s="14"/>
      <c r="Z58" s="14"/>
      <c r="AA58" s="14"/>
      <c r="AB58" s="14"/>
    </row>
    <row r="59" spans="1:28" ht="18.75">
      <c r="A59" s="94"/>
      <c r="B59" s="94"/>
      <c r="C59" s="94"/>
      <c r="D59" s="94"/>
      <c r="E59" s="94"/>
      <c r="F59" s="94"/>
      <c r="G59" s="94"/>
      <c r="H59" s="18" t="s">
        <v>228</v>
      </c>
      <c r="I59" s="68" t="str">
        <f>HYPERLINK("https://processual.trf1.jus.br/consultaProcessual/arquivo/abrir.php?tipo=fs&amp;nome=d4822482c238c97dd144f9ba86c74eb9.pdf&amp;size=97062","Suspensão")</f>
        <v>Suspensão</v>
      </c>
      <c r="J59" s="69"/>
      <c r="K59" s="55"/>
      <c r="L59" s="55"/>
      <c r="M59" s="55"/>
      <c r="N59" s="55"/>
      <c r="O59" s="55"/>
      <c r="P59" s="55"/>
      <c r="Q59" s="55"/>
      <c r="R59" s="55"/>
      <c r="S59" s="55"/>
      <c r="T59" s="55"/>
      <c r="U59" s="55"/>
      <c r="V59" s="55"/>
      <c r="W59" s="55"/>
      <c r="X59" s="55"/>
      <c r="Y59" s="55"/>
      <c r="Z59" s="55"/>
      <c r="AA59" s="55"/>
      <c r="AB59" s="55"/>
    </row>
    <row r="60" spans="1:28" ht="18.75">
      <c r="A60" s="92">
        <v>18</v>
      </c>
      <c r="B60" s="92" t="s">
        <v>233</v>
      </c>
      <c r="C60" s="103" t="s">
        <v>234</v>
      </c>
      <c r="D60" s="92" t="s">
        <v>235</v>
      </c>
      <c r="E60" s="92" t="s">
        <v>159</v>
      </c>
      <c r="F60" s="96" t="str">
        <f>HYPERLINK("http://www.prpa.mpf.mp.br/news/2014/arquivos/ACP_Sao_Manoel_condicionantes_LP.pdf/view","Clique aqui")</f>
        <v>Clique aqui</v>
      </c>
      <c r="G60" s="92" t="s">
        <v>237</v>
      </c>
      <c r="H60" s="25" t="s">
        <v>238</v>
      </c>
      <c r="I60" s="26" t="str">
        <f>HYPERLINK("http://www.prpa.mpf.mp.br/news/2014/arquivos/Decisao_liminar_suspensao_hidreletrica_Sao_Manoel_descumprimento_condicionantes.pdf","Liminar")</f>
        <v>Liminar</v>
      </c>
      <c r="J60" s="96" t="str">
        <f>HYPERLINK("http://processual.trf1.jus.br/consultaProcessual/processo.php?trf1_captcha_id=940d1d3b286a83bee90adf799729b07d&amp;trf1_captcha=5rnj&amp;enviar=Pesquisar&amp;proc=00314426520144013900&amp;secao=PA","Clique aqui")</f>
        <v>Clique aqui</v>
      </c>
      <c r="K60" s="14"/>
      <c r="L60" s="14"/>
      <c r="M60" s="14"/>
      <c r="N60" s="14"/>
      <c r="O60" s="14"/>
      <c r="P60" s="14"/>
      <c r="Q60" s="14"/>
      <c r="R60" s="14"/>
      <c r="S60" s="14"/>
      <c r="T60" s="14"/>
      <c r="U60" s="14"/>
      <c r="V60" s="14"/>
      <c r="W60" s="14"/>
      <c r="X60" s="14"/>
      <c r="Y60" s="14"/>
      <c r="Z60" s="14"/>
      <c r="AA60" s="14"/>
      <c r="AB60" s="14"/>
    </row>
    <row r="61" spans="1:28" ht="68.25" customHeight="1">
      <c r="A61" s="93"/>
      <c r="B61" s="93"/>
      <c r="C61" s="93"/>
      <c r="D61" s="93"/>
      <c r="E61" s="93"/>
      <c r="F61" s="93"/>
      <c r="G61" s="93"/>
      <c r="H61" s="36" t="s">
        <v>241</v>
      </c>
      <c r="I61" s="33" t="str">
        <f>HYPERLINK("http://www.prpa.mpf.mp.br/news/2015/arquivos/Suspensao%20de%20Seguranca%20em%20Agravo%20Regimental.pdf/at_download/file","Suspensão")</f>
        <v>Suspensão</v>
      </c>
      <c r="J61" s="94"/>
      <c r="K61" s="14"/>
      <c r="L61" s="14"/>
      <c r="M61" s="14"/>
      <c r="N61" s="14"/>
      <c r="O61" s="14"/>
      <c r="P61" s="14"/>
      <c r="Q61" s="14"/>
      <c r="R61" s="14"/>
      <c r="S61" s="14"/>
      <c r="T61" s="14"/>
      <c r="U61" s="14"/>
      <c r="V61" s="14"/>
      <c r="W61" s="14"/>
      <c r="X61" s="14"/>
      <c r="Y61" s="14"/>
      <c r="Z61" s="14"/>
      <c r="AA61" s="14"/>
      <c r="AB61" s="14"/>
    </row>
    <row r="62" spans="1:28" ht="56.25">
      <c r="A62" s="94"/>
      <c r="B62" s="94"/>
      <c r="C62" s="94"/>
      <c r="D62" s="94"/>
      <c r="E62" s="94"/>
      <c r="F62" s="94"/>
      <c r="G62" s="94"/>
      <c r="H62" s="63" t="s">
        <v>243</v>
      </c>
      <c r="I62" s="71" t="str">
        <f>HYPERLINK("https://processual.trf1.jus.br/consultaProcessual/arquivo/abrir.php?tipo=fs&amp;nome=1e86bd0a557ac3eecef63cea50ed67e1.pdf&amp;size=2947258","Sentença")</f>
        <v>Sentença</v>
      </c>
      <c r="J62" s="72" t="s">
        <v>245</v>
      </c>
      <c r="K62" s="73"/>
      <c r="L62" s="73"/>
      <c r="M62" s="73"/>
      <c r="N62" s="73"/>
      <c r="O62" s="73"/>
      <c r="P62" s="73"/>
      <c r="Q62" s="73"/>
      <c r="R62" s="73"/>
      <c r="S62" s="73"/>
      <c r="T62" s="73"/>
      <c r="U62" s="73"/>
      <c r="V62" s="73"/>
      <c r="W62" s="73"/>
      <c r="X62" s="73"/>
      <c r="Y62" s="73"/>
      <c r="Z62" s="73"/>
      <c r="AA62" s="73"/>
      <c r="AB62" s="73"/>
    </row>
    <row r="63" spans="1:28" ht="56.25">
      <c r="A63" s="95">
        <v>19</v>
      </c>
      <c r="B63" s="95" t="s">
        <v>249</v>
      </c>
      <c r="C63" s="104" t="s">
        <v>156</v>
      </c>
      <c r="D63" s="95" t="s">
        <v>250</v>
      </c>
      <c r="E63" s="95" t="s">
        <v>252</v>
      </c>
      <c r="F63" s="105" t="s">
        <v>147</v>
      </c>
      <c r="G63" s="95" t="s">
        <v>253</v>
      </c>
      <c r="H63" s="75" t="s">
        <v>255</v>
      </c>
      <c r="I63" s="77"/>
      <c r="J63" s="67" t="str">
        <f>HYPERLINK("http://processual.trf1.jus.br/consultaProcessual/processo.php?proc=00342149820144013900&amp;secao=PA","Clique aqui")</f>
        <v>Clique aqui</v>
      </c>
      <c r="K63" s="14"/>
      <c r="L63" s="14"/>
      <c r="M63" s="14"/>
      <c r="N63" s="14"/>
      <c r="O63" s="14"/>
      <c r="P63" s="14"/>
      <c r="Q63" s="14"/>
      <c r="R63" s="14"/>
      <c r="S63" s="14"/>
      <c r="T63" s="14"/>
      <c r="U63" s="14"/>
      <c r="V63" s="14"/>
      <c r="W63" s="14"/>
      <c r="X63" s="14"/>
      <c r="Y63" s="14"/>
      <c r="Z63" s="14"/>
      <c r="AA63" s="14"/>
      <c r="AB63" s="14"/>
    </row>
    <row r="64" spans="1:28" ht="57.75" customHeight="1">
      <c r="A64" s="94"/>
      <c r="B64" s="94"/>
      <c r="C64" s="94"/>
      <c r="D64" s="94"/>
      <c r="E64" s="94"/>
      <c r="F64" s="94"/>
      <c r="G64" s="94"/>
      <c r="H64" s="74" t="s">
        <v>259</v>
      </c>
      <c r="I64" s="69"/>
      <c r="J64" s="76" t="str">
        <f>HYPERLINK("https://processual.trf1.jus.br/consultaProcessual/processo.php?proc=459125920174010000&amp;secao=TRF1&amp;nome=&amp;mostrarBaixados=","Clique aqui")</f>
        <v>Clique aqui</v>
      </c>
      <c r="K64" s="55"/>
      <c r="L64" s="55"/>
      <c r="M64" s="55"/>
      <c r="N64" s="55"/>
      <c r="O64" s="55"/>
      <c r="P64" s="55"/>
      <c r="Q64" s="55"/>
      <c r="R64" s="55"/>
      <c r="S64" s="55"/>
      <c r="T64" s="55"/>
      <c r="U64" s="55"/>
      <c r="V64" s="55"/>
      <c r="W64" s="55"/>
      <c r="X64" s="55"/>
      <c r="Y64" s="55"/>
      <c r="Z64" s="55"/>
      <c r="AA64" s="55"/>
      <c r="AB64" s="55"/>
    </row>
    <row r="65" spans="1:28" ht="132" customHeight="1">
      <c r="A65" s="92">
        <v>20</v>
      </c>
      <c r="B65" s="92" t="s">
        <v>264</v>
      </c>
      <c r="C65" s="92" t="s">
        <v>69</v>
      </c>
      <c r="D65" s="92" t="s">
        <v>265</v>
      </c>
      <c r="E65" s="92" t="s">
        <v>266</v>
      </c>
      <c r="F65" s="96" t="str">
        <f>HYPERLINK("http://www.prpa.mpf.mp.br/news/2015/arquivos/PP%20114%202015%2086%20-%20Peticao%20Inicial.%20ACP%20UHE%20Teles%20Pires.%20Mortandade%20de%20Peixes.%20Turbinas%20-%20versao%20final.pdf/at_download/file","Clique aqui")</f>
        <v>Clique aqui</v>
      </c>
      <c r="G65" s="92" t="s">
        <v>268</v>
      </c>
      <c r="H65" s="51" t="s">
        <v>270</v>
      </c>
      <c r="I65" s="41" t="str">
        <f>HYPERLINK("http://www.prpa.mpf.mp.br/news/2015/arquivos/DECISAO%20JUDICIAL%20-%20UHE%20TELES%20PIRES_1.pdf/at_download/file","Liminar")</f>
        <v>Liminar</v>
      </c>
      <c r="J65" s="96" t="str">
        <f>HYPERLINK("http://processual.trf1.jus.br/consultaProcessual/processo.php?proc=55365720154013603&amp;secao=SNO&amp;pg=1&amp;trf1_captcha_id=c69e44f0303c8d26fcaa8e9a7cd60648&amp;trf1_captcha=4cpr&amp;enviar=Pesquisar","Clique aqui")</f>
        <v>Clique aqui</v>
      </c>
      <c r="K65" s="14"/>
      <c r="L65" s="14"/>
      <c r="M65" s="14"/>
      <c r="N65" s="14"/>
      <c r="O65" s="14"/>
      <c r="P65" s="14"/>
      <c r="Q65" s="14"/>
      <c r="R65" s="14"/>
      <c r="S65" s="14"/>
      <c r="T65" s="14"/>
      <c r="U65" s="14"/>
      <c r="V65" s="14"/>
      <c r="W65" s="14"/>
      <c r="X65" s="14"/>
      <c r="Y65" s="14"/>
      <c r="Z65" s="14"/>
      <c r="AA65" s="14"/>
      <c r="AB65" s="14"/>
    </row>
    <row r="66" spans="1:28" ht="37.5">
      <c r="A66" s="93"/>
      <c r="B66" s="93"/>
      <c r="C66" s="93"/>
      <c r="D66" s="93"/>
      <c r="E66" s="93"/>
      <c r="F66" s="93"/>
      <c r="G66" s="93"/>
      <c r="H66" s="23" t="s">
        <v>273</v>
      </c>
      <c r="I66" s="24" t="str">
        <f>HYPERLINK("https://processual.trf1.jus.br/consultaProcessual/arquivo/abrir.php?tipo=fs&amp;nome=c650214165d8cbb713c587fccb8eedb1.pdf&amp;size=82273","Suspensão")</f>
        <v>Suspensão</v>
      </c>
      <c r="J66" s="93"/>
      <c r="K66" s="73"/>
      <c r="L66" s="73"/>
      <c r="M66" s="73"/>
      <c r="N66" s="73"/>
      <c r="O66" s="73"/>
      <c r="P66" s="73"/>
      <c r="Q66" s="73"/>
      <c r="R66" s="73"/>
      <c r="S66" s="73"/>
      <c r="T66" s="73"/>
      <c r="U66" s="73"/>
      <c r="V66" s="73"/>
      <c r="W66" s="73"/>
      <c r="X66" s="73"/>
      <c r="Y66" s="73"/>
      <c r="Z66" s="73"/>
      <c r="AA66" s="73"/>
      <c r="AB66" s="73"/>
    </row>
    <row r="67" spans="1:28" ht="18.75">
      <c r="A67" s="94"/>
      <c r="B67" s="94"/>
      <c r="C67" s="94"/>
      <c r="D67" s="94"/>
      <c r="E67" s="94"/>
      <c r="F67" s="94"/>
      <c r="G67" s="94"/>
      <c r="H67" s="23" t="s">
        <v>274</v>
      </c>
      <c r="I67" s="78"/>
      <c r="J67" s="94"/>
      <c r="K67" s="73"/>
      <c r="L67" s="73"/>
      <c r="M67" s="73"/>
      <c r="N67" s="73"/>
      <c r="O67" s="73"/>
      <c r="P67" s="73"/>
      <c r="Q67" s="73"/>
      <c r="R67" s="73"/>
      <c r="S67" s="73"/>
      <c r="T67" s="73"/>
      <c r="U67" s="73"/>
      <c r="V67" s="73"/>
      <c r="W67" s="73"/>
      <c r="X67" s="73"/>
      <c r="Y67" s="73"/>
      <c r="Z67" s="73"/>
      <c r="AA67" s="73"/>
      <c r="AB67" s="73"/>
    </row>
    <row r="68" spans="1:28" ht="18.75">
      <c r="A68" s="95">
        <v>21</v>
      </c>
      <c r="B68" s="95" t="s">
        <v>276</v>
      </c>
      <c r="C68" s="95" t="s">
        <v>11</v>
      </c>
      <c r="D68" s="95" t="s">
        <v>278</v>
      </c>
      <c r="E68" s="95" t="s">
        <v>280</v>
      </c>
      <c r="F68" s="98" t="str">
        <f>HYPERLINK("http://www.prpa.mpf.mp.br/news/2015/arquivos/ACP.Demarcacao%20TI.Sawre%20Muybu_versao%20final.pdf/at_download/file","Clique aqui")</f>
        <v>Clique aqui</v>
      </c>
      <c r="G68" s="95" t="s">
        <v>16</v>
      </c>
      <c r="H68" s="11" t="s">
        <v>281</v>
      </c>
      <c r="I68" s="13" t="str">
        <f>HYPERLINK("http://www.prpa.mpf.mp.br/news/2014/arquivos/TI%20Sawre%20Muybu_Decisao%20liminar.pdf","Liminar")</f>
        <v>Liminar</v>
      </c>
      <c r="J68" s="98" t="str">
        <f>HYPERLINK("http://processual.trf1.jus.br/consultaProcessual/processo.php?proc=12580520144013908&amp;secao=IAB&amp;pg=1&amp;enviar=Pesquisar","Clique aqui")</f>
        <v>Clique aqui</v>
      </c>
      <c r="K68" s="14"/>
      <c r="L68" s="14"/>
      <c r="M68" s="14"/>
      <c r="N68" s="14"/>
      <c r="O68" s="14"/>
      <c r="P68" s="14"/>
      <c r="Q68" s="14"/>
      <c r="R68" s="14"/>
      <c r="S68" s="14"/>
      <c r="T68" s="14"/>
      <c r="U68" s="14"/>
      <c r="V68" s="14"/>
      <c r="W68" s="14"/>
      <c r="X68" s="14"/>
      <c r="Y68" s="14"/>
      <c r="Z68" s="14"/>
      <c r="AA68" s="14"/>
      <c r="AB68" s="14"/>
    </row>
    <row r="69" spans="1:28" ht="18.75">
      <c r="A69" s="93"/>
      <c r="B69" s="93"/>
      <c r="C69" s="93"/>
      <c r="D69" s="93"/>
      <c r="E69" s="93"/>
      <c r="F69" s="93"/>
      <c r="G69" s="93"/>
      <c r="H69" s="79" t="s">
        <v>283</v>
      </c>
      <c r="I69" s="80" t="str">
        <f>HYPERLINK("http://www.prpa.mpf.mp.br/news/2015/arquivos/sentenca.%20sawremaybu.pdf","Sentença")</f>
        <v>Sentença</v>
      </c>
      <c r="J69" s="93"/>
      <c r="K69" s="14"/>
      <c r="L69" s="14"/>
      <c r="M69" s="14"/>
      <c r="N69" s="14"/>
      <c r="O69" s="14"/>
      <c r="P69" s="14"/>
      <c r="Q69" s="14"/>
      <c r="R69" s="14"/>
      <c r="S69" s="14"/>
      <c r="T69" s="14"/>
      <c r="U69" s="14"/>
      <c r="V69" s="14"/>
      <c r="W69" s="14"/>
      <c r="X69" s="14"/>
      <c r="Y69" s="14"/>
      <c r="Z69" s="14"/>
      <c r="AA69" s="14"/>
      <c r="AB69" s="14"/>
    </row>
    <row r="70" spans="1:28" ht="97.5" customHeight="1">
      <c r="A70" s="93"/>
      <c r="B70" s="93"/>
      <c r="C70" s="93"/>
      <c r="D70" s="93"/>
      <c r="E70" s="93"/>
      <c r="F70" s="93"/>
      <c r="G70" s="93"/>
      <c r="H70" s="20" t="s">
        <v>287</v>
      </c>
      <c r="I70" s="82" t="str">
        <f>HYPERLINK("https://processual.trf1.jus.br/consultaProcessual/arquivo/abrir.php?tipo=fs&amp;nome=bde5a7fc562778e236844e3403d10dde.pdf&amp;size=78829","Suspensão")</f>
        <v>Suspensão</v>
      </c>
      <c r="J70" s="94"/>
      <c r="K70" s="14"/>
      <c r="L70" s="14"/>
      <c r="M70" s="14"/>
      <c r="N70" s="14"/>
      <c r="O70" s="14"/>
      <c r="P70" s="14"/>
      <c r="Q70" s="14"/>
      <c r="R70" s="14"/>
      <c r="S70" s="14"/>
      <c r="T70" s="14"/>
      <c r="U70" s="14"/>
      <c r="V70" s="14"/>
      <c r="W70" s="14"/>
      <c r="X70" s="14"/>
      <c r="Y70" s="14"/>
      <c r="Z70" s="14"/>
      <c r="AA70" s="14"/>
      <c r="AB70" s="14"/>
    </row>
    <row r="71" spans="1:28" ht="18.75">
      <c r="A71" s="94"/>
      <c r="B71" s="94"/>
      <c r="C71" s="94"/>
      <c r="D71" s="94"/>
      <c r="E71" s="94"/>
      <c r="F71" s="94"/>
      <c r="G71" s="94"/>
      <c r="H71" s="84" t="s">
        <v>171</v>
      </c>
      <c r="I71" s="85"/>
      <c r="J71" s="76" t="str">
        <f>HYPERLINK("https://processual.trf1.jus.br/consultaProcessual/processo.php?proc=12580520144013908&amp;secao=TRF1&amp;nome=&amp;mostrarBaixados=","Clique aqui")</f>
        <v>Clique aqui</v>
      </c>
      <c r="K71" s="55"/>
      <c r="L71" s="55"/>
      <c r="M71" s="55"/>
      <c r="N71" s="55"/>
      <c r="O71" s="55"/>
      <c r="P71" s="55"/>
      <c r="Q71" s="55"/>
      <c r="R71" s="55"/>
      <c r="S71" s="55"/>
      <c r="T71" s="55"/>
      <c r="U71" s="55"/>
      <c r="V71" s="55"/>
      <c r="W71" s="55"/>
      <c r="X71" s="55"/>
      <c r="Y71" s="55"/>
      <c r="Z71" s="55"/>
      <c r="AA71" s="55"/>
      <c r="AB71" s="55"/>
    </row>
    <row r="72" spans="1:28" ht="300">
      <c r="A72" s="51">
        <v>22</v>
      </c>
      <c r="B72" s="51" t="s">
        <v>295</v>
      </c>
      <c r="C72" s="51" t="s">
        <v>11</v>
      </c>
      <c r="D72" s="51" t="s">
        <v>296</v>
      </c>
      <c r="E72" s="51" t="s">
        <v>297</v>
      </c>
      <c r="F72" s="41" t="str">
        <f>HYPERLINK("http://www.stf.jus.br/portal/peticaoInicial/verPeticaoInicial.asp?base=ADIN&amp;s1=4717&amp;processo=4717","Clique aqui")</f>
        <v>Clique aqui</v>
      </c>
      <c r="G72" s="51" t="s">
        <v>298</v>
      </c>
      <c r="H72" s="51" t="s">
        <v>299</v>
      </c>
      <c r="I72" s="41" t="str">
        <f>HYPERLINK("http://www.stf.jus.br/portal/processo/verProcessoTexto.asp?id=4526843&amp;tipoApp=RTF","Decisão")</f>
        <v>Decisão</v>
      </c>
      <c r="J72" s="41" t="str">
        <f>HYPERLINK("http://www.stf.jus.br/portal/processo/verProcessoAndamento.asp?incidente=4197770","Clique aqui")</f>
        <v>Clique aqui</v>
      </c>
      <c r="K72" s="14"/>
      <c r="L72" s="14"/>
      <c r="M72" s="14"/>
      <c r="N72" s="14"/>
      <c r="O72" s="14"/>
      <c r="P72" s="14"/>
      <c r="Q72" s="14"/>
      <c r="R72" s="14"/>
      <c r="S72" s="14"/>
      <c r="T72" s="14"/>
      <c r="U72" s="14"/>
      <c r="V72" s="14"/>
      <c r="W72" s="14"/>
      <c r="X72" s="14"/>
      <c r="Y72" s="14"/>
      <c r="Z72" s="14"/>
      <c r="AA72" s="14"/>
      <c r="AB72" s="14"/>
    </row>
    <row r="73" spans="1:28" ht="206.25">
      <c r="A73" s="53">
        <v>23</v>
      </c>
      <c r="B73" s="87" t="s">
        <v>300</v>
      </c>
      <c r="C73" s="53" t="s">
        <v>69</v>
      </c>
      <c r="D73" s="53" t="s">
        <v>302</v>
      </c>
      <c r="E73" s="53" t="s">
        <v>303</v>
      </c>
      <c r="F73" s="67" t="str">
        <f>HYPERLINK("http://www.mpf.mp.br/pa/sala-de-imprensa/documentos/2016/acp-qualidade-da-agua.pdf/view","Clique aqui")</f>
        <v>Clique aqui</v>
      </c>
      <c r="G73" s="53" t="s">
        <v>304</v>
      </c>
      <c r="H73" s="53" t="s">
        <v>305</v>
      </c>
      <c r="I73" s="67" t="str">
        <f>HYPERLINK("http://www.mpf.mp.br/pa/sala-de-imprensa/documentos/2016/declinio.pdf/view","Declínio")</f>
        <v>Declínio</v>
      </c>
      <c r="J73" s="88" t="s">
        <v>147</v>
      </c>
      <c r="K73" s="14"/>
      <c r="L73" s="14"/>
      <c r="M73" s="14"/>
      <c r="N73" s="14"/>
      <c r="O73" s="14"/>
      <c r="P73" s="14"/>
      <c r="Q73" s="14"/>
      <c r="R73" s="14"/>
      <c r="S73" s="14"/>
      <c r="T73" s="14"/>
      <c r="U73" s="14"/>
      <c r="V73" s="14"/>
      <c r="W73" s="14"/>
      <c r="X73" s="14"/>
      <c r="Y73" s="14"/>
      <c r="Z73" s="14"/>
      <c r="AA73" s="14"/>
      <c r="AB73" s="14"/>
    </row>
    <row r="74" spans="1:28" ht="18.75">
      <c r="A74" s="14"/>
      <c r="B74" s="14"/>
      <c r="C74" s="89"/>
      <c r="D74" s="14"/>
      <c r="E74" s="14"/>
      <c r="F74" s="14"/>
      <c r="G74" s="14"/>
      <c r="H74" s="14"/>
      <c r="I74" s="14"/>
      <c r="J74" s="14"/>
      <c r="K74" s="14"/>
      <c r="L74" s="14"/>
      <c r="M74" s="14"/>
      <c r="N74" s="14"/>
      <c r="O74" s="14"/>
      <c r="P74" s="14"/>
      <c r="Q74" s="14"/>
      <c r="R74" s="14"/>
      <c r="S74" s="14"/>
      <c r="T74" s="14"/>
      <c r="U74" s="14"/>
      <c r="V74" s="14"/>
      <c r="W74" s="14"/>
      <c r="X74" s="14"/>
      <c r="Y74" s="14"/>
      <c r="Z74" s="14"/>
      <c r="AA74" s="14"/>
      <c r="AB74" s="14"/>
    </row>
    <row r="75" spans="1:28" ht="18.75">
      <c r="A75" s="14"/>
      <c r="B75" s="14"/>
      <c r="C75" s="89"/>
      <c r="D75" s="14"/>
      <c r="E75" s="14"/>
      <c r="F75" s="14"/>
      <c r="G75" s="14"/>
      <c r="H75" s="14"/>
      <c r="I75" s="14"/>
      <c r="J75" s="14"/>
      <c r="K75" s="14"/>
      <c r="L75" s="14"/>
      <c r="M75" s="14"/>
      <c r="N75" s="14"/>
      <c r="O75" s="14"/>
      <c r="P75" s="14"/>
      <c r="Q75" s="14"/>
      <c r="R75" s="14"/>
      <c r="S75" s="14"/>
      <c r="T75" s="14"/>
      <c r="U75" s="14"/>
      <c r="V75" s="14"/>
      <c r="W75" s="14"/>
      <c r="X75" s="14"/>
      <c r="Y75" s="14"/>
      <c r="Z75" s="14"/>
      <c r="AA75" s="14"/>
      <c r="AB75" s="14"/>
    </row>
    <row r="76" spans="1:28" ht="18.75">
      <c r="A76" s="14"/>
      <c r="B76" s="14"/>
      <c r="C76" s="89"/>
      <c r="D76" s="14"/>
      <c r="E76" s="14"/>
      <c r="F76" s="14"/>
      <c r="G76" s="14"/>
      <c r="H76" s="14"/>
      <c r="I76" s="14"/>
      <c r="J76" s="14"/>
      <c r="K76" s="14"/>
      <c r="L76" s="14"/>
      <c r="M76" s="14"/>
      <c r="N76" s="14"/>
      <c r="O76" s="14"/>
      <c r="P76" s="14"/>
      <c r="Q76" s="14"/>
      <c r="R76" s="14"/>
      <c r="S76" s="14"/>
      <c r="T76" s="14"/>
      <c r="U76" s="14"/>
      <c r="V76" s="14"/>
      <c r="W76" s="14"/>
      <c r="X76" s="14"/>
      <c r="Y76" s="14"/>
      <c r="Z76" s="14"/>
      <c r="AA76" s="14"/>
      <c r="AB76" s="14"/>
    </row>
    <row r="77" spans="1:28" ht="18.75">
      <c r="A77" s="14"/>
      <c r="B77" s="14"/>
      <c r="C77" s="89"/>
      <c r="D77" s="14"/>
      <c r="E77" s="14"/>
      <c r="F77" s="14"/>
      <c r="G77" s="14"/>
      <c r="H77" s="14"/>
      <c r="I77" s="14"/>
      <c r="J77" s="14"/>
      <c r="K77" s="14"/>
      <c r="L77" s="14"/>
      <c r="M77" s="14"/>
      <c r="N77" s="14"/>
      <c r="O77" s="14"/>
      <c r="P77" s="14"/>
      <c r="Q77" s="14"/>
      <c r="R77" s="14"/>
      <c r="S77" s="14"/>
      <c r="T77" s="14"/>
      <c r="U77" s="14"/>
      <c r="V77" s="14"/>
      <c r="W77" s="14"/>
      <c r="X77" s="14"/>
      <c r="Y77" s="14"/>
      <c r="Z77" s="14"/>
      <c r="AA77" s="14"/>
      <c r="AB77" s="14"/>
    </row>
    <row r="78" spans="1:28" ht="18.75">
      <c r="A78" s="14"/>
      <c r="B78" s="14"/>
      <c r="C78" s="89"/>
      <c r="D78" s="14"/>
      <c r="E78" s="14"/>
      <c r="F78" s="14"/>
      <c r="G78" s="14"/>
      <c r="H78" s="14"/>
      <c r="I78" s="14"/>
      <c r="J78" s="14"/>
      <c r="K78" s="14"/>
      <c r="L78" s="14"/>
      <c r="M78" s="14"/>
      <c r="N78" s="14"/>
      <c r="O78" s="14"/>
      <c r="P78" s="14"/>
      <c r="Q78" s="14"/>
      <c r="R78" s="14"/>
      <c r="S78" s="14"/>
      <c r="T78" s="14"/>
      <c r="U78" s="14"/>
      <c r="V78" s="14"/>
      <c r="W78" s="14"/>
      <c r="X78" s="14"/>
      <c r="Y78" s="14"/>
      <c r="Z78" s="14"/>
      <c r="AA78" s="14"/>
      <c r="AB78" s="14"/>
    </row>
    <row r="79" spans="1:28" ht="18.75">
      <c r="A79" s="14"/>
      <c r="B79" s="14"/>
      <c r="C79" s="89"/>
      <c r="D79" s="14"/>
      <c r="E79" s="14"/>
      <c r="F79" s="14"/>
      <c r="G79" s="14"/>
      <c r="H79" s="14"/>
      <c r="I79" s="14"/>
      <c r="J79" s="14"/>
      <c r="K79" s="14"/>
      <c r="L79" s="14"/>
      <c r="M79" s="14"/>
      <c r="N79" s="14"/>
      <c r="O79" s="14"/>
      <c r="P79" s="14"/>
      <c r="Q79" s="14"/>
      <c r="R79" s="14"/>
      <c r="S79" s="14"/>
      <c r="T79" s="14"/>
      <c r="U79" s="14"/>
      <c r="V79" s="14"/>
      <c r="W79" s="14"/>
      <c r="X79" s="14"/>
      <c r="Y79" s="14"/>
      <c r="Z79" s="14"/>
      <c r="AA79" s="14"/>
      <c r="AB79" s="14"/>
    </row>
    <row r="80" spans="1:28" ht="18.75">
      <c r="A80" s="14"/>
      <c r="B80" s="14"/>
      <c r="C80" s="89"/>
      <c r="D80" s="14"/>
      <c r="E80" s="14"/>
      <c r="F80" s="14"/>
      <c r="G80" s="14"/>
      <c r="H80" s="14"/>
      <c r="I80" s="14"/>
      <c r="J80" s="14"/>
      <c r="K80" s="14"/>
      <c r="L80" s="14"/>
      <c r="M80" s="14"/>
      <c r="N80" s="14"/>
      <c r="O80" s="14"/>
      <c r="P80" s="14"/>
      <c r="Q80" s="14"/>
      <c r="R80" s="14"/>
      <c r="S80" s="14"/>
      <c r="T80" s="14"/>
      <c r="U80" s="14"/>
      <c r="V80" s="14"/>
      <c r="W80" s="14"/>
      <c r="X80" s="14"/>
      <c r="Y80" s="14"/>
      <c r="Z80" s="14"/>
      <c r="AA80" s="14"/>
      <c r="AB80" s="14"/>
    </row>
    <row r="81" spans="1:28" ht="18.75">
      <c r="A81" s="14"/>
      <c r="B81" s="14"/>
      <c r="C81" s="89"/>
      <c r="D81" s="14"/>
      <c r="E81" s="14"/>
      <c r="F81" s="14"/>
      <c r="G81" s="14"/>
      <c r="H81" s="14"/>
      <c r="I81" s="14"/>
      <c r="J81" s="14"/>
      <c r="K81" s="14"/>
      <c r="L81" s="14"/>
      <c r="M81" s="14"/>
      <c r="N81" s="14"/>
      <c r="O81" s="14"/>
      <c r="P81" s="14"/>
      <c r="Q81" s="14"/>
      <c r="R81" s="14"/>
      <c r="S81" s="14"/>
      <c r="T81" s="14"/>
      <c r="U81" s="14"/>
      <c r="V81" s="14"/>
      <c r="W81" s="14"/>
      <c r="X81" s="14"/>
      <c r="Y81" s="14"/>
      <c r="Z81" s="14"/>
      <c r="AA81" s="14"/>
      <c r="AB81" s="14"/>
    </row>
    <row r="82" spans="1:28" ht="18.75">
      <c r="A82" s="14"/>
      <c r="B82" s="14"/>
      <c r="C82" s="89"/>
      <c r="D82" s="14"/>
      <c r="E82" s="14"/>
      <c r="F82" s="14"/>
      <c r="G82" s="14"/>
      <c r="H82" s="14"/>
      <c r="I82" s="14"/>
      <c r="J82" s="14"/>
      <c r="K82" s="14"/>
      <c r="L82" s="14"/>
      <c r="M82" s="14"/>
      <c r="N82" s="14"/>
      <c r="O82" s="14"/>
      <c r="P82" s="14"/>
      <c r="Q82" s="14"/>
      <c r="R82" s="14"/>
      <c r="S82" s="14"/>
      <c r="T82" s="14"/>
      <c r="U82" s="14"/>
      <c r="V82" s="14"/>
      <c r="W82" s="14"/>
      <c r="X82" s="14"/>
      <c r="Y82" s="14"/>
      <c r="Z82" s="14"/>
      <c r="AA82" s="14"/>
      <c r="AB82" s="14"/>
    </row>
    <row r="83" spans="1:28" ht="18.75">
      <c r="A83" s="14"/>
      <c r="B83" s="14"/>
      <c r="C83" s="89"/>
      <c r="D83" s="14"/>
      <c r="E83" s="14"/>
      <c r="F83" s="14"/>
      <c r="G83" s="14"/>
      <c r="H83" s="14"/>
      <c r="I83" s="14"/>
      <c r="J83" s="14"/>
      <c r="K83" s="14"/>
      <c r="L83" s="14"/>
      <c r="M83" s="14"/>
      <c r="N83" s="14"/>
      <c r="O83" s="14"/>
      <c r="P83" s="14"/>
      <c r="Q83" s="14"/>
      <c r="R83" s="14"/>
      <c r="S83" s="14"/>
      <c r="T83" s="14"/>
      <c r="U83" s="14"/>
      <c r="V83" s="14"/>
      <c r="W83" s="14"/>
      <c r="X83" s="14"/>
      <c r="Y83" s="14"/>
      <c r="Z83" s="14"/>
      <c r="AA83" s="14"/>
      <c r="AB83" s="14"/>
    </row>
    <row r="84" spans="1:28" ht="18.75">
      <c r="A84" s="14"/>
      <c r="B84" s="14"/>
      <c r="C84" s="89"/>
      <c r="D84" s="14"/>
      <c r="E84" s="14"/>
      <c r="F84" s="14"/>
      <c r="G84" s="14"/>
      <c r="H84" s="14"/>
      <c r="I84" s="14"/>
      <c r="J84" s="14"/>
      <c r="K84" s="14"/>
      <c r="L84" s="14"/>
      <c r="M84" s="14"/>
      <c r="N84" s="14"/>
      <c r="O84" s="14"/>
      <c r="P84" s="14"/>
      <c r="Q84" s="14"/>
      <c r="R84" s="14"/>
      <c r="S84" s="14"/>
      <c r="T84" s="14"/>
      <c r="U84" s="14"/>
      <c r="V84" s="14"/>
      <c r="W84" s="14"/>
      <c r="X84" s="14"/>
      <c r="Y84" s="14"/>
      <c r="Z84" s="14"/>
      <c r="AA84" s="14"/>
      <c r="AB84" s="14"/>
    </row>
    <row r="85" spans="1:28" ht="18.75">
      <c r="A85" s="14"/>
      <c r="B85" s="14"/>
      <c r="C85" s="89"/>
      <c r="D85" s="14"/>
      <c r="E85" s="14"/>
      <c r="F85" s="14"/>
      <c r="G85" s="14"/>
      <c r="H85" s="14"/>
      <c r="I85" s="14"/>
      <c r="J85" s="14"/>
      <c r="K85" s="14"/>
      <c r="L85" s="14"/>
      <c r="M85" s="14"/>
      <c r="N85" s="14"/>
      <c r="O85" s="14"/>
      <c r="P85" s="14"/>
      <c r="Q85" s="14"/>
      <c r="R85" s="14"/>
      <c r="S85" s="14"/>
      <c r="T85" s="14"/>
      <c r="U85" s="14"/>
      <c r="V85" s="14"/>
      <c r="W85" s="14"/>
      <c r="X85" s="14"/>
      <c r="Y85" s="14"/>
      <c r="Z85" s="14"/>
      <c r="AA85" s="14"/>
      <c r="AB85" s="14"/>
    </row>
    <row r="86" spans="1:28" ht="18.75">
      <c r="A86" s="14"/>
      <c r="B86" s="14"/>
      <c r="C86" s="89"/>
      <c r="D86" s="14"/>
      <c r="E86" s="14"/>
      <c r="F86" s="14"/>
      <c r="G86" s="14"/>
      <c r="H86" s="14"/>
      <c r="I86" s="14"/>
      <c r="J86" s="14"/>
      <c r="K86" s="14"/>
      <c r="L86" s="14"/>
      <c r="M86" s="14"/>
      <c r="N86" s="14"/>
      <c r="O86" s="14"/>
      <c r="P86" s="14"/>
      <c r="Q86" s="14"/>
      <c r="R86" s="14"/>
      <c r="S86" s="14"/>
      <c r="T86" s="14"/>
      <c r="U86" s="14"/>
      <c r="V86" s="14"/>
      <c r="W86" s="14"/>
      <c r="X86" s="14"/>
      <c r="Y86" s="14"/>
      <c r="Z86" s="14"/>
      <c r="AA86" s="14"/>
      <c r="AB86" s="14"/>
    </row>
    <row r="87" spans="1:28" ht="18.75">
      <c r="A87" s="14"/>
      <c r="B87" s="14"/>
      <c r="C87" s="89"/>
      <c r="D87" s="14"/>
      <c r="E87" s="14"/>
      <c r="F87" s="14"/>
      <c r="G87" s="14"/>
      <c r="H87" s="14"/>
      <c r="I87" s="14"/>
      <c r="J87" s="14"/>
      <c r="K87" s="14"/>
      <c r="L87" s="14"/>
      <c r="M87" s="14"/>
      <c r="N87" s="14"/>
      <c r="O87" s="14"/>
      <c r="P87" s="14"/>
      <c r="Q87" s="14"/>
      <c r="R87" s="14"/>
      <c r="S87" s="14"/>
      <c r="T87" s="14"/>
      <c r="U87" s="14"/>
      <c r="V87" s="14"/>
      <c r="W87" s="14"/>
      <c r="X87" s="14"/>
      <c r="Y87" s="14"/>
      <c r="Z87" s="14"/>
      <c r="AA87" s="14"/>
      <c r="AB87" s="14"/>
    </row>
    <row r="88" spans="1:28" ht="18.75">
      <c r="A88" s="14"/>
      <c r="B88" s="14"/>
      <c r="C88" s="89"/>
      <c r="D88" s="14"/>
      <c r="E88" s="14"/>
      <c r="F88" s="14"/>
      <c r="G88" s="14"/>
      <c r="H88" s="14"/>
      <c r="I88" s="14"/>
      <c r="J88" s="14"/>
      <c r="K88" s="14"/>
      <c r="L88" s="14"/>
      <c r="M88" s="14"/>
      <c r="N88" s="14"/>
      <c r="O88" s="14"/>
      <c r="P88" s="14"/>
      <c r="Q88" s="14"/>
      <c r="R88" s="14"/>
      <c r="S88" s="14"/>
      <c r="T88" s="14"/>
      <c r="U88" s="14"/>
      <c r="V88" s="14"/>
      <c r="W88" s="14"/>
      <c r="X88" s="14"/>
      <c r="Y88" s="14"/>
      <c r="Z88" s="14"/>
      <c r="AA88" s="14"/>
      <c r="AB88" s="14"/>
    </row>
    <row r="89" spans="1:28" ht="18.75">
      <c r="A89" s="14"/>
      <c r="B89" s="14"/>
      <c r="C89" s="89"/>
      <c r="D89" s="14"/>
      <c r="E89" s="14"/>
      <c r="F89" s="14"/>
      <c r="G89" s="14"/>
      <c r="H89" s="14"/>
      <c r="I89" s="14"/>
      <c r="J89" s="14"/>
      <c r="K89" s="14"/>
      <c r="L89" s="14"/>
      <c r="M89" s="14"/>
      <c r="N89" s="14"/>
      <c r="O89" s="14"/>
      <c r="P89" s="14"/>
      <c r="Q89" s="14"/>
      <c r="R89" s="14"/>
      <c r="S89" s="14"/>
      <c r="T89" s="14"/>
      <c r="U89" s="14"/>
      <c r="V89" s="14"/>
      <c r="W89" s="14"/>
      <c r="X89" s="14"/>
      <c r="Y89" s="14"/>
      <c r="Z89" s="14"/>
      <c r="AA89" s="14"/>
      <c r="AB89" s="14"/>
    </row>
    <row r="90" spans="1:28" ht="18.75">
      <c r="A90" s="14"/>
      <c r="B90" s="14"/>
      <c r="C90" s="89"/>
      <c r="D90" s="14"/>
      <c r="E90" s="14"/>
      <c r="F90" s="14"/>
      <c r="G90" s="14"/>
      <c r="H90" s="14"/>
      <c r="I90" s="14"/>
      <c r="J90" s="14"/>
      <c r="K90" s="14"/>
      <c r="L90" s="14"/>
      <c r="M90" s="14"/>
      <c r="N90" s="14"/>
      <c r="O90" s="14"/>
      <c r="P90" s="14"/>
      <c r="Q90" s="14"/>
      <c r="R90" s="14"/>
      <c r="S90" s="14"/>
      <c r="T90" s="14"/>
      <c r="U90" s="14"/>
      <c r="V90" s="14"/>
      <c r="W90" s="14"/>
      <c r="X90" s="14"/>
      <c r="Y90" s="14"/>
      <c r="Z90" s="14"/>
      <c r="AA90" s="14"/>
      <c r="AB90" s="14"/>
    </row>
    <row r="91" spans="1:28" ht="18.75">
      <c r="A91" s="14"/>
      <c r="B91" s="14"/>
      <c r="C91" s="89"/>
      <c r="D91" s="14"/>
      <c r="E91" s="14"/>
      <c r="F91" s="14"/>
      <c r="G91" s="14"/>
      <c r="H91" s="14"/>
      <c r="I91" s="14"/>
      <c r="J91" s="14"/>
      <c r="K91" s="14"/>
      <c r="L91" s="14"/>
      <c r="M91" s="14"/>
      <c r="N91" s="14"/>
      <c r="O91" s="14"/>
      <c r="P91" s="14"/>
      <c r="Q91" s="14"/>
      <c r="R91" s="14"/>
      <c r="S91" s="14"/>
      <c r="T91" s="14"/>
      <c r="U91" s="14"/>
      <c r="V91" s="14"/>
      <c r="W91" s="14"/>
      <c r="X91" s="14"/>
      <c r="Y91" s="14"/>
      <c r="Z91" s="14"/>
      <c r="AA91" s="14"/>
      <c r="AB91" s="14"/>
    </row>
    <row r="92" spans="1:28" ht="18.75">
      <c r="A92" s="14"/>
      <c r="B92" s="14"/>
      <c r="C92" s="89"/>
      <c r="D92" s="14"/>
      <c r="E92" s="14"/>
      <c r="F92" s="14"/>
      <c r="G92" s="14"/>
      <c r="H92" s="14"/>
      <c r="I92" s="14"/>
      <c r="J92" s="14"/>
      <c r="K92" s="14"/>
      <c r="L92" s="14"/>
      <c r="M92" s="14"/>
      <c r="N92" s="14"/>
      <c r="O92" s="14"/>
      <c r="P92" s="14"/>
      <c r="Q92" s="14"/>
      <c r="R92" s="14"/>
      <c r="S92" s="14"/>
      <c r="T92" s="14"/>
      <c r="U92" s="14"/>
      <c r="V92" s="14"/>
      <c r="W92" s="14"/>
      <c r="X92" s="14"/>
      <c r="Y92" s="14"/>
      <c r="Z92" s="14"/>
      <c r="AA92" s="14"/>
      <c r="AB92" s="14"/>
    </row>
    <row r="93" spans="1:28" ht="18.75">
      <c r="A93" s="14"/>
      <c r="B93" s="14"/>
      <c r="C93" s="89"/>
      <c r="D93" s="14"/>
      <c r="E93" s="14"/>
      <c r="F93" s="14"/>
      <c r="G93" s="14"/>
      <c r="H93" s="14"/>
      <c r="I93" s="14"/>
      <c r="J93" s="14"/>
      <c r="K93" s="14"/>
      <c r="L93" s="14"/>
      <c r="M93" s="14"/>
      <c r="N93" s="14"/>
      <c r="O93" s="14"/>
      <c r="P93" s="14"/>
      <c r="Q93" s="14"/>
      <c r="R93" s="14"/>
      <c r="S93" s="14"/>
      <c r="T93" s="14"/>
      <c r="U93" s="14"/>
      <c r="V93" s="14"/>
      <c r="W93" s="14"/>
      <c r="X93" s="14"/>
      <c r="Y93" s="14"/>
      <c r="Z93" s="14"/>
      <c r="AA93" s="14"/>
      <c r="AB93" s="14"/>
    </row>
    <row r="94" spans="1:28" ht="18.75">
      <c r="A94" s="14"/>
      <c r="B94" s="14"/>
      <c r="C94" s="89"/>
      <c r="D94" s="14"/>
      <c r="E94" s="14"/>
      <c r="F94" s="14"/>
      <c r="G94" s="14"/>
      <c r="H94" s="14"/>
      <c r="I94" s="14"/>
      <c r="J94" s="14"/>
      <c r="K94" s="14"/>
      <c r="L94" s="14"/>
      <c r="M94" s="14"/>
      <c r="N94" s="14"/>
      <c r="O94" s="14"/>
      <c r="P94" s="14"/>
      <c r="Q94" s="14"/>
      <c r="R94" s="14"/>
      <c r="S94" s="14"/>
      <c r="T94" s="14"/>
      <c r="U94" s="14"/>
      <c r="V94" s="14"/>
      <c r="W94" s="14"/>
      <c r="X94" s="14"/>
      <c r="Y94" s="14"/>
      <c r="Z94" s="14"/>
      <c r="AA94" s="14"/>
      <c r="AB94" s="14"/>
    </row>
    <row r="95" spans="1:28" ht="18.75">
      <c r="A95" s="14"/>
      <c r="B95" s="14"/>
      <c r="C95" s="89"/>
      <c r="D95" s="14"/>
      <c r="E95" s="14"/>
      <c r="F95" s="14"/>
      <c r="G95" s="14"/>
      <c r="H95" s="14"/>
      <c r="I95" s="14"/>
      <c r="J95" s="14"/>
      <c r="K95" s="14"/>
      <c r="L95" s="14"/>
      <c r="M95" s="14"/>
      <c r="N95" s="14"/>
      <c r="O95" s="14"/>
      <c r="P95" s="14"/>
      <c r="Q95" s="14"/>
      <c r="R95" s="14"/>
      <c r="S95" s="14"/>
      <c r="T95" s="14"/>
      <c r="U95" s="14"/>
      <c r="V95" s="14"/>
      <c r="W95" s="14"/>
      <c r="X95" s="14"/>
      <c r="Y95" s="14"/>
      <c r="Z95" s="14"/>
      <c r="AA95" s="14"/>
      <c r="AB95" s="14"/>
    </row>
    <row r="96" spans="1:28" ht="18.75">
      <c r="A96" s="14"/>
      <c r="B96" s="14"/>
      <c r="C96" s="89"/>
      <c r="D96" s="14"/>
      <c r="E96" s="14"/>
      <c r="F96" s="14"/>
      <c r="G96" s="14"/>
      <c r="H96" s="14"/>
      <c r="I96" s="14"/>
      <c r="J96" s="14"/>
      <c r="K96" s="14"/>
      <c r="L96" s="14"/>
      <c r="M96" s="14"/>
      <c r="N96" s="14"/>
      <c r="O96" s="14"/>
      <c r="P96" s="14"/>
      <c r="Q96" s="14"/>
      <c r="R96" s="14"/>
      <c r="S96" s="14"/>
      <c r="T96" s="14"/>
      <c r="U96" s="14"/>
      <c r="V96" s="14"/>
      <c r="W96" s="14"/>
      <c r="X96" s="14"/>
      <c r="Y96" s="14"/>
      <c r="Z96" s="14"/>
      <c r="AA96" s="14"/>
      <c r="AB96" s="14"/>
    </row>
    <row r="97" spans="1:28" ht="18.75">
      <c r="A97" s="14"/>
      <c r="B97" s="14"/>
      <c r="C97" s="89"/>
      <c r="D97" s="14"/>
      <c r="E97" s="14"/>
      <c r="F97" s="14"/>
      <c r="G97" s="14"/>
      <c r="H97" s="14"/>
      <c r="I97" s="14"/>
      <c r="J97" s="14"/>
      <c r="K97" s="14"/>
      <c r="L97" s="14"/>
      <c r="M97" s="14"/>
      <c r="N97" s="14"/>
      <c r="O97" s="14"/>
      <c r="P97" s="14"/>
      <c r="Q97" s="14"/>
      <c r="R97" s="14"/>
      <c r="S97" s="14"/>
      <c r="T97" s="14"/>
      <c r="U97" s="14"/>
      <c r="V97" s="14"/>
      <c r="W97" s="14"/>
      <c r="X97" s="14"/>
      <c r="Y97" s="14"/>
      <c r="Z97" s="14"/>
      <c r="AA97" s="14"/>
      <c r="AB97" s="14"/>
    </row>
    <row r="98" spans="1:28" ht="18.75">
      <c r="A98" s="14"/>
      <c r="B98" s="14"/>
      <c r="C98" s="89"/>
      <c r="D98" s="14"/>
      <c r="E98" s="14"/>
      <c r="F98" s="14"/>
      <c r="G98" s="14"/>
      <c r="H98" s="14"/>
      <c r="I98" s="14"/>
      <c r="J98" s="14"/>
      <c r="K98" s="14"/>
      <c r="L98" s="14"/>
      <c r="M98" s="14"/>
      <c r="N98" s="14"/>
      <c r="O98" s="14"/>
      <c r="P98" s="14"/>
      <c r="Q98" s="14"/>
      <c r="R98" s="14"/>
      <c r="S98" s="14"/>
      <c r="T98" s="14"/>
      <c r="U98" s="14"/>
      <c r="V98" s="14"/>
      <c r="W98" s="14"/>
      <c r="X98" s="14"/>
      <c r="Y98" s="14"/>
      <c r="Z98" s="14"/>
      <c r="AA98" s="14"/>
      <c r="AB98" s="14"/>
    </row>
    <row r="99" spans="1:28" ht="18.75">
      <c r="A99" s="14"/>
      <c r="B99" s="14"/>
      <c r="C99" s="89"/>
      <c r="D99" s="14"/>
      <c r="E99" s="14"/>
      <c r="F99" s="14"/>
      <c r="G99" s="14"/>
      <c r="H99" s="14"/>
      <c r="I99" s="14"/>
      <c r="J99" s="14"/>
      <c r="K99" s="14"/>
      <c r="L99" s="14"/>
      <c r="M99" s="14"/>
      <c r="N99" s="14"/>
      <c r="O99" s="14"/>
      <c r="P99" s="14"/>
      <c r="Q99" s="14"/>
      <c r="R99" s="14"/>
      <c r="S99" s="14"/>
      <c r="T99" s="14"/>
      <c r="U99" s="14"/>
      <c r="V99" s="14"/>
      <c r="W99" s="14"/>
      <c r="X99" s="14"/>
      <c r="Y99" s="14"/>
      <c r="Z99" s="14"/>
      <c r="AA99" s="14"/>
      <c r="AB99" s="14"/>
    </row>
    <row r="100" spans="1:28" ht="18.75">
      <c r="A100" s="14"/>
      <c r="B100" s="14"/>
      <c r="C100" s="89"/>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row>
    <row r="101" spans="1:28" ht="18.75">
      <c r="A101" s="14"/>
      <c r="B101" s="14"/>
      <c r="C101" s="89"/>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row>
    <row r="102" spans="1:28" ht="18.75">
      <c r="A102" s="14"/>
      <c r="B102" s="14"/>
      <c r="C102" s="89"/>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row>
    <row r="103" spans="1:28" ht="18.75">
      <c r="A103" s="14"/>
      <c r="B103" s="14"/>
      <c r="C103" s="89"/>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row>
    <row r="104" spans="1:28" ht="18.75">
      <c r="A104" s="14"/>
      <c r="B104" s="14"/>
      <c r="C104" s="89"/>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row>
    <row r="105" spans="1:28" ht="18.75">
      <c r="A105" s="14"/>
      <c r="B105" s="14"/>
      <c r="C105" s="89"/>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row>
    <row r="106" spans="1:28" ht="18.75">
      <c r="A106" s="14"/>
      <c r="B106" s="14"/>
      <c r="C106" s="89"/>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row>
    <row r="107" spans="1:28" ht="18.75">
      <c r="A107" s="14"/>
      <c r="B107" s="14"/>
      <c r="C107" s="89"/>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row>
    <row r="108" spans="1:28" ht="18.75">
      <c r="A108" s="14"/>
      <c r="B108" s="14"/>
      <c r="C108" s="89"/>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row>
    <row r="109" spans="1:28" ht="18.75">
      <c r="A109" s="14"/>
      <c r="B109" s="14"/>
      <c r="C109" s="89"/>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row>
    <row r="110" spans="1:28" ht="18.75">
      <c r="A110" s="14"/>
      <c r="B110" s="14"/>
      <c r="C110" s="89"/>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row>
    <row r="111" spans="1:28" ht="18.75">
      <c r="A111" s="14"/>
      <c r="B111" s="14"/>
      <c r="C111" s="89"/>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row>
    <row r="112" spans="1:28" ht="18.75">
      <c r="A112" s="14"/>
      <c r="B112" s="14"/>
      <c r="C112" s="89"/>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row>
    <row r="113" spans="1:28" ht="18.75">
      <c r="A113" s="14"/>
      <c r="B113" s="14"/>
      <c r="C113" s="89"/>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row>
    <row r="114" spans="1:28" ht="18.75">
      <c r="A114" s="14"/>
      <c r="B114" s="14"/>
      <c r="C114" s="89"/>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row>
    <row r="115" spans="1:28" ht="18.75">
      <c r="A115" s="14"/>
      <c r="B115" s="14"/>
      <c r="C115" s="89"/>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row>
    <row r="116" spans="1:28" ht="18.75">
      <c r="A116" s="14"/>
      <c r="B116" s="14"/>
      <c r="C116" s="89"/>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row>
    <row r="117" spans="1:28" ht="18.75">
      <c r="A117" s="14"/>
      <c r="B117" s="14"/>
      <c r="C117" s="89"/>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row>
    <row r="118" spans="1:28" ht="18.75">
      <c r="A118" s="14"/>
      <c r="B118" s="14"/>
      <c r="C118" s="89"/>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row>
    <row r="119" spans="1:28" ht="18.75">
      <c r="A119" s="14"/>
      <c r="B119" s="14"/>
      <c r="C119" s="89"/>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row>
    <row r="120" spans="1:28" ht="18.75">
      <c r="A120" s="14"/>
      <c r="B120" s="14"/>
      <c r="C120" s="89"/>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row>
    <row r="121" spans="1:28" ht="18.75">
      <c r="A121" s="14"/>
      <c r="B121" s="14"/>
      <c r="C121" s="89"/>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row>
    <row r="122" spans="1:28" ht="18.75">
      <c r="A122" s="14"/>
      <c r="B122" s="14"/>
      <c r="C122" s="89"/>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row>
    <row r="123" spans="1:28" ht="18.75">
      <c r="A123" s="14"/>
      <c r="B123" s="14"/>
      <c r="C123" s="89"/>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row>
    <row r="124" spans="1:28" ht="18.75">
      <c r="A124" s="14"/>
      <c r="B124" s="14"/>
      <c r="C124" s="89"/>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row>
    <row r="125" spans="1:28" ht="18.75">
      <c r="A125" s="14"/>
      <c r="B125" s="14"/>
      <c r="C125" s="89"/>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row>
    <row r="126" spans="1:28" ht="18.75">
      <c r="A126" s="14"/>
      <c r="B126" s="14"/>
      <c r="C126" s="89"/>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row>
    <row r="127" spans="1:28" ht="18.75">
      <c r="A127" s="14"/>
      <c r="B127" s="14"/>
      <c r="C127" s="89"/>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row>
    <row r="128" spans="1:28" ht="18.75">
      <c r="A128" s="14"/>
      <c r="B128" s="14"/>
      <c r="C128" s="89"/>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row>
    <row r="129" spans="1:28" ht="18.75">
      <c r="A129" s="14"/>
      <c r="B129" s="14"/>
      <c r="C129" s="89"/>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row>
    <row r="130" spans="1:28" ht="18.75">
      <c r="A130" s="14"/>
      <c r="B130" s="14"/>
      <c r="C130" s="89"/>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row>
    <row r="131" spans="1:28" ht="18.75">
      <c r="A131" s="14"/>
      <c r="B131" s="14"/>
      <c r="C131" s="89"/>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row>
    <row r="132" spans="1:28" ht="18.75">
      <c r="A132" s="14"/>
      <c r="B132" s="14"/>
      <c r="C132" s="89"/>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row>
    <row r="133" spans="1:28" ht="18.75">
      <c r="A133" s="14"/>
      <c r="B133" s="14"/>
      <c r="C133" s="89"/>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row>
    <row r="134" spans="1:28" ht="18.75">
      <c r="A134" s="14"/>
      <c r="B134" s="14"/>
      <c r="C134" s="89"/>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row>
    <row r="135" spans="1:28" ht="18.75">
      <c r="A135" s="14"/>
      <c r="B135" s="14"/>
      <c r="C135" s="89"/>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row>
    <row r="136" spans="1:28" ht="18.75">
      <c r="A136" s="14"/>
      <c r="B136" s="14"/>
      <c r="C136" s="89"/>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row>
    <row r="137" spans="1:28" ht="18.75">
      <c r="A137" s="14"/>
      <c r="B137" s="14"/>
      <c r="C137" s="89"/>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row>
    <row r="138" spans="1:28" ht="18.75">
      <c r="A138" s="14"/>
      <c r="B138" s="14"/>
      <c r="C138" s="89"/>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row>
    <row r="139" spans="1:28" ht="18.75">
      <c r="A139" s="14"/>
      <c r="B139" s="14"/>
      <c r="C139" s="89"/>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row>
    <row r="140" spans="1:28" ht="18.75">
      <c r="A140" s="14"/>
      <c r="B140" s="14"/>
      <c r="C140" s="89"/>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row>
    <row r="141" spans="1:28" ht="18.75">
      <c r="A141" s="14"/>
      <c r="B141" s="14"/>
      <c r="C141" s="89"/>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row>
    <row r="142" spans="1:28" ht="18.75">
      <c r="A142" s="14"/>
      <c r="B142" s="14"/>
      <c r="C142" s="89"/>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row>
    <row r="143" spans="1:28" ht="18.75">
      <c r="A143" s="14"/>
      <c r="B143" s="14"/>
      <c r="C143" s="89"/>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row>
    <row r="144" spans="1:28" ht="18.75">
      <c r="A144" s="14"/>
      <c r="B144" s="14"/>
      <c r="C144" s="89"/>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row>
    <row r="145" spans="1:28" ht="18.75">
      <c r="A145" s="14"/>
      <c r="B145" s="14"/>
      <c r="C145" s="89"/>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row>
    <row r="146" spans="1:28" ht="18.75">
      <c r="A146" s="14"/>
      <c r="B146" s="14"/>
      <c r="C146" s="89"/>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row>
    <row r="147" spans="1:28" ht="18.75">
      <c r="A147" s="14"/>
      <c r="B147" s="14"/>
      <c r="C147" s="89"/>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row>
    <row r="148" spans="1:28" ht="18.75">
      <c r="A148" s="14"/>
      <c r="B148" s="14"/>
      <c r="C148" s="89"/>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row>
    <row r="149" spans="1:28" ht="18.75">
      <c r="A149" s="14"/>
      <c r="B149" s="14"/>
      <c r="C149" s="89"/>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row>
    <row r="150" spans="1:28" ht="18.75">
      <c r="A150" s="14"/>
      <c r="B150" s="14"/>
      <c r="C150" s="89"/>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row>
    <row r="151" spans="1:28" ht="18.75">
      <c r="A151" s="14"/>
      <c r="B151" s="14"/>
      <c r="C151" s="89"/>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row>
    <row r="152" spans="1:28" ht="18.75">
      <c r="A152" s="14"/>
      <c r="B152" s="14"/>
      <c r="C152" s="89"/>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row>
    <row r="153" spans="1:28" ht="18.75">
      <c r="A153" s="14"/>
      <c r="B153" s="14"/>
      <c r="C153" s="89"/>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row>
    <row r="154" spans="1:28" ht="18.75">
      <c r="A154" s="14"/>
      <c r="B154" s="14"/>
      <c r="C154" s="89"/>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row>
    <row r="155" spans="1:28" ht="18.75">
      <c r="A155" s="14"/>
      <c r="B155" s="14"/>
      <c r="C155" s="89"/>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row>
    <row r="156" spans="1:28" ht="18.75">
      <c r="A156" s="14"/>
      <c r="B156" s="14"/>
      <c r="C156" s="89"/>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row>
    <row r="157" spans="1:28" ht="18.75">
      <c r="A157" s="14"/>
      <c r="B157" s="14"/>
      <c r="C157" s="89"/>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row>
    <row r="158" spans="1:28" ht="18.75">
      <c r="A158" s="14"/>
      <c r="B158" s="14"/>
      <c r="C158" s="89"/>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row>
    <row r="159" spans="1:28" ht="18.75">
      <c r="A159" s="14"/>
      <c r="B159" s="14"/>
      <c r="C159" s="89"/>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row>
    <row r="160" spans="1:28" ht="18.75">
      <c r="A160" s="14"/>
      <c r="B160" s="14"/>
      <c r="C160" s="89"/>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row>
    <row r="161" spans="1:28" ht="18.75">
      <c r="A161" s="14"/>
      <c r="B161" s="14"/>
      <c r="C161" s="89"/>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row>
    <row r="162" spans="1:28" ht="18.75">
      <c r="A162" s="14"/>
      <c r="B162" s="14"/>
      <c r="C162" s="89"/>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row>
    <row r="163" spans="1:28" ht="18.75">
      <c r="A163" s="14"/>
      <c r="B163" s="14"/>
      <c r="C163" s="89"/>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row>
    <row r="164" spans="1:28" ht="18.75">
      <c r="A164" s="14"/>
      <c r="B164" s="14"/>
      <c r="C164" s="89"/>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row>
    <row r="165" spans="1:28" ht="18.75">
      <c r="A165" s="14"/>
      <c r="B165" s="14"/>
      <c r="C165" s="89"/>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row>
    <row r="166" spans="1:28" ht="18.75">
      <c r="A166" s="14"/>
      <c r="B166" s="14"/>
      <c r="C166" s="89"/>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row>
    <row r="167" spans="1:28" ht="18.75">
      <c r="A167" s="14"/>
      <c r="B167" s="14"/>
      <c r="C167" s="89"/>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row>
    <row r="168" spans="1:28" ht="18.75">
      <c r="A168" s="14"/>
      <c r="B168" s="14"/>
      <c r="C168" s="89"/>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row>
    <row r="169" spans="1:28" ht="18.75">
      <c r="A169" s="14"/>
      <c r="B169" s="14"/>
      <c r="C169" s="89"/>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row>
    <row r="170" spans="1:28" ht="18.75">
      <c r="A170" s="14"/>
      <c r="B170" s="14"/>
      <c r="C170" s="89"/>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row>
    <row r="171" spans="1:28" ht="18.75">
      <c r="A171" s="14"/>
      <c r="B171" s="14"/>
      <c r="C171" s="89"/>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row>
    <row r="172" spans="1:28" ht="18.75">
      <c r="A172" s="14"/>
      <c r="B172" s="14"/>
      <c r="C172" s="89"/>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row>
    <row r="173" spans="1:28" ht="18.75">
      <c r="A173" s="14"/>
      <c r="B173" s="14"/>
      <c r="C173" s="89"/>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row>
    <row r="174" spans="1:28" ht="18.75">
      <c r="A174" s="14"/>
      <c r="B174" s="14"/>
      <c r="C174" s="89"/>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row>
    <row r="175" spans="1:28" ht="18.75">
      <c r="A175" s="14"/>
      <c r="B175" s="14"/>
      <c r="C175" s="89"/>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row>
    <row r="176" spans="1:28" ht="18.75">
      <c r="A176" s="14"/>
      <c r="B176" s="14"/>
      <c r="C176" s="89"/>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row>
    <row r="177" spans="1:28" ht="18.75">
      <c r="A177" s="14"/>
      <c r="B177" s="14"/>
      <c r="C177" s="89"/>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row>
    <row r="178" spans="1:28" ht="18.75">
      <c r="A178" s="14"/>
      <c r="B178" s="14"/>
      <c r="C178" s="89"/>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row>
    <row r="179" spans="1:28" ht="18.75">
      <c r="A179" s="14"/>
      <c r="B179" s="14"/>
      <c r="C179" s="89"/>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row>
    <row r="180" spans="1:28" ht="18.75">
      <c r="A180" s="14"/>
      <c r="B180" s="14"/>
      <c r="C180" s="89"/>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row>
    <row r="181" spans="1:28" ht="18.75">
      <c r="A181" s="14"/>
      <c r="B181" s="14"/>
      <c r="C181" s="89"/>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row>
    <row r="182" spans="1:28" ht="18.75">
      <c r="A182" s="14"/>
      <c r="B182" s="14"/>
      <c r="C182" s="89"/>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row>
    <row r="183" spans="1:28" ht="18.75">
      <c r="A183" s="14"/>
      <c r="B183" s="14"/>
      <c r="C183" s="89"/>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row>
    <row r="184" spans="1:28" ht="18.75">
      <c r="A184" s="14"/>
      <c r="B184" s="14"/>
      <c r="C184" s="89"/>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row>
    <row r="185" spans="1:28" ht="18.75">
      <c r="A185" s="14"/>
      <c r="B185" s="14"/>
      <c r="C185" s="89"/>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row>
    <row r="186" spans="1:28" ht="18.75">
      <c r="A186" s="14"/>
      <c r="B186" s="14"/>
      <c r="C186" s="89"/>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row>
    <row r="187" spans="1:28" ht="18.75">
      <c r="A187" s="14"/>
      <c r="B187" s="14"/>
      <c r="C187" s="89"/>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row>
    <row r="188" spans="1:28" ht="18.75">
      <c r="A188" s="14"/>
      <c r="B188" s="14"/>
      <c r="C188" s="89"/>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row>
    <row r="189" spans="1:28" ht="18.75">
      <c r="A189" s="14"/>
      <c r="B189" s="14"/>
      <c r="C189" s="89"/>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row>
    <row r="190" spans="1:28" ht="18.75">
      <c r="A190" s="14"/>
      <c r="B190" s="14"/>
      <c r="C190" s="89"/>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row>
    <row r="191" spans="1:28" ht="18.75">
      <c r="A191" s="14"/>
      <c r="B191" s="14"/>
      <c r="C191" s="89"/>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row>
    <row r="192" spans="1:28" ht="18.75">
      <c r="A192" s="14"/>
      <c r="B192" s="14"/>
      <c r="C192" s="89"/>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row>
    <row r="193" spans="1:28" ht="18.75">
      <c r="A193" s="14"/>
      <c r="B193" s="14"/>
      <c r="C193" s="89"/>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row>
    <row r="194" spans="1:28" ht="18.75">
      <c r="A194" s="14"/>
      <c r="B194" s="14"/>
      <c r="C194" s="89"/>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row>
    <row r="195" spans="1:28" ht="18.75">
      <c r="A195" s="14"/>
      <c r="B195" s="14"/>
      <c r="C195" s="89"/>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row>
    <row r="196" spans="1:28" ht="18.75">
      <c r="A196" s="14"/>
      <c r="B196" s="14"/>
      <c r="C196" s="89"/>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row>
    <row r="197" spans="1:28" ht="18.75">
      <c r="A197" s="14"/>
      <c r="B197" s="14"/>
      <c r="C197" s="89"/>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row>
    <row r="198" spans="1:28" ht="18.75">
      <c r="A198" s="14"/>
      <c r="B198" s="14"/>
      <c r="C198" s="89"/>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row>
    <row r="199" spans="1:28" ht="18.75">
      <c r="A199" s="14"/>
      <c r="B199" s="14"/>
      <c r="C199" s="89"/>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row>
    <row r="200" spans="1:28" ht="18.75">
      <c r="A200" s="14"/>
      <c r="B200" s="14"/>
      <c r="C200" s="89"/>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row>
    <row r="201" spans="1:28" ht="18.75">
      <c r="A201" s="14"/>
      <c r="B201" s="14"/>
      <c r="C201" s="89"/>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row>
    <row r="202" spans="1:28" ht="18.75">
      <c r="A202" s="14"/>
      <c r="B202" s="14"/>
      <c r="C202" s="89"/>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row>
    <row r="203" spans="1:28" ht="18.75">
      <c r="A203" s="14"/>
      <c r="B203" s="14"/>
      <c r="C203" s="89"/>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row>
    <row r="204" spans="1:28" ht="18.75">
      <c r="A204" s="14"/>
      <c r="B204" s="14"/>
      <c r="C204" s="89"/>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row>
    <row r="205" spans="1:28" ht="18.75">
      <c r="A205" s="14"/>
      <c r="B205" s="14"/>
      <c r="C205" s="89"/>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row>
    <row r="206" spans="1:28" ht="18.75">
      <c r="A206" s="14"/>
      <c r="B206" s="14"/>
      <c r="C206" s="89"/>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row>
    <row r="207" spans="1:28" ht="18.75">
      <c r="A207" s="14"/>
      <c r="B207" s="14"/>
      <c r="C207" s="89"/>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row>
    <row r="208" spans="1:28" ht="18.75">
      <c r="A208" s="14"/>
      <c r="B208" s="14"/>
      <c r="C208" s="89"/>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row>
    <row r="209" spans="1:28" ht="18.75">
      <c r="A209" s="14"/>
      <c r="B209" s="14"/>
      <c r="C209" s="89"/>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row>
    <row r="210" spans="1:28" ht="18.75">
      <c r="A210" s="14"/>
      <c r="B210" s="14"/>
      <c r="C210" s="89"/>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row>
    <row r="211" spans="1:28" ht="18.75">
      <c r="A211" s="14"/>
      <c r="B211" s="14"/>
      <c r="C211" s="89"/>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row>
    <row r="212" spans="1:28" ht="18.75">
      <c r="A212" s="14"/>
      <c r="B212" s="14"/>
      <c r="C212" s="89"/>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row>
    <row r="213" spans="1:28" ht="18.75">
      <c r="A213" s="14"/>
      <c r="B213" s="14"/>
      <c r="C213" s="89"/>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row>
    <row r="214" spans="1:28" ht="18.75">
      <c r="A214" s="14"/>
      <c r="B214" s="14"/>
      <c r="C214" s="89"/>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row>
    <row r="215" spans="1:28" ht="18.75">
      <c r="A215" s="14"/>
      <c r="B215" s="14"/>
      <c r="C215" s="89"/>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row>
    <row r="216" spans="1:28" ht="18.75">
      <c r="A216" s="14"/>
      <c r="B216" s="14"/>
      <c r="C216" s="89"/>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row>
    <row r="217" spans="1:28" ht="18.75">
      <c r="A217" s="14"/>
      <c r="B217" s="14"/>
      <c r="C217" s="89"/>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row>
    <row r="218" spans="1:28" ht="18.75">
      <c r="A218" s="14"/>
      <c r="B218" s="14"/>
      <c r="C218" s="89"/>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row>
    <row r="219" spans="1:28" ht="18.75">
      <c r="A219" s="14"/>
      <c r="B219" s="14"/>
      <c r="C219" s="89"/>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row>
    <row r="220" spans="1:28" ht="18.75">
      <c r="A220" s="14"/>
      <c r="B220" s="14"/>
      <c r="C220" s="89"/>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row>
    <row r="221" spans="1:28" ht="18.75">
      <c r="A221" s="14"/>
      <c r="B221" s="14"/>
      <c r="C221" s="89"/>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row>
    <row r="222" spans="1:28" ht="18.75">
      <c r="A222" s="14"/>
      <c r="B222" s="14"/>
      <c r="C222" s="89"/>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row>
    <row r="223" spans="1:28" ht="18.75">
      <c r="A223" s="14"/>
      <c r="B223" s="14"/>
      <c r="C223" s="89"/>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row>
    <row r="224" spans="1:28" ht="18.75">
      <c r="A224" s="14"/>
      <c r="B224" s="14"/>
      <c r="C224" s="89"/>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row>
    <row r="225" spans="1:28" ht="18.75">
      <c r="A225" s="14"/>
      <c r="B225" s="14"/>
      <c r="C225" s="89"/>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row>
    <row r="226" spans="1:28" ht="18.75">
      <c r="A226" s="14"/>
      <c r="B226" s="14"/>
      <c r="C226" s="89"/>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row>
    <row r="227" spans="1:28" ht="18.75">
      <c r="A227" s="14"/>
      <c r="B227" s="14"/>
      <c r="C227" s="89"/>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row>
    <row r="228" spans="1:28" ht="18.75">
      <c r="A228" s="14"/>
      <c r="B228" s="14"/>
      <c r="C228" s="89"/>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row>
    <row r="229" spans="1:28" ht="18.75">
      <c r="A229" s="14"/>
      <c r="B229" s="14"/>
      <c r="C229" s="89"/>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row>
    <row r="230" spans="1:28" ht="18.75">
      <c r="A230" s="14"/>
      <c r="B230" s="14"/>
      <c r="C230" s="89"/>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row>
    <row r="231" spans="1:28" ht="18.75">
      <c r="A231" s="14"/>
      <c r="B231" s="14"/>
      <c r="C231" s="89"/>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row>
    <row r="232" spans="1:28" ht="18.75">
      <c r="A232" s="14"/>
      <c r="B232" s="14"/>
      <c r="C232" s="89"/>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row>
    <row r="233" spans="1:28" ht="18.75">
      <c r="A233" s="14"/>
      <c r="B233" s="14"/>
      <c r="C233" s="89"/>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row>
    <row r="234" spans="1:28" ht="18.75">
      <c r="A234" s="14"/>
      <c r="B234" s="14"/>
      <c r="C234" s="89"/>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row>
    <row r="235" spans="1:28" ht="18.75">
      <c r="A235" s="14"/>
      <c r="B235" s="14"/>
      <c r="C235" s="89"/>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row>
    <row r="236" spans="1:28" ht="18.75">
      <c r="A236" s="14"/>
      <c r="B236" s="14"/>
      <c r="C236" s="89"/>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row>
    <row r="237" spans="1:28" ht="18.75">
      <c r="A237" s="14"/>
      <c r="B237" s="14"/>
      <c r="C237" s="89"/>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row>
    <row r="238" spans="1:28" ht="18.75">
      <c r="A238" s="14"/>
      <c r="B238" s="14"/>
      <c r="C238" s="89"/>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row>
    <row r="239" spans="1:28" ht="18.75">
      <c r="A239" s="14"/>
      <c r="B239" s="14"/>
      <c r="C239" s="89"/>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row>
    <row r="240" spans="1:28" ht="18.75">
      <c r="A240" s="14"/>
      <c r="B240" s="14"/>
      <c r="C240" s="89"/>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row>
    <row r="241" spans="1:28" ht="18.75">
      <c r="A241" s="14"/>
      <c r="B241" s="14"/>
      <c r="C241" s="89"/>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row>
    <row r="242" spans="1:28" ht="18.75">
      <c r="A242" s="14"/>
      <c r="B242" s="14"/>
      <c r="C242" s="89"/>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row>
    <row r="243" spans="1:28" ht="18.75">
      <c r="A243" s="14"/>
      <c r="B243" s="14"/>
      <c r="C243" s="89"/>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row>
    <row r="244" spans="1:28" ht="18.75">
      <c r="A244" s="14"/>
      <c r="B244" s="14"/>
      <c r="C244" s="89"/>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row>
    <row r="245" spans="1:28" ht="18.75">
      <c r="A245" s="14"/>
      <c r="B245" s="14"/>
      <c r="C245" s="89"/>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row>
    <row r="246" spans="1:28" ht="18.75">
      <c r="A246" s="14"/>
      <c r="B246" s="14"/>
      <c r="C246" s="89"/>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row>
    <row r="247" spans="1:28" ht="18.75">
      <c r="A247" s="14"/>
      <c r="B247" s="14"/>
      <c r="C247" s="89"/>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row>
    <row r="248" spans="1:28" ht="18.75">
      <c r="A248" s="14"/>
      <c r="B248" s="14"/>
      <c r="C248" s="89"/>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row>
    <row r="249" spans="1:28" ht="18.75">
      <c r="A249" s="14"/>
      <c r="B249" s="14"/>
      <c r="C249" s="89"/>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row>
    <row r="250" spans="1:28" ht="18.75">
      <c r="A250" s="14"/>
      <c r="B250" s="14"/>
      <c r="C250" s="89"/>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row>
    <row r="251" spans="1:28" ht="18.75">
      <c r="A251" s="14"/>
      <c r="B251" s="14"/>
      <c r="C251" s="89"/>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row>
    <row r="252" spans="1:28" ht="18.75">
      <c r="A252" s="14"/>
      <c r="B252" s="14"/>
      <c r="C252" s="89"/>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row>
    <row r="253" spans="1:28" ht="18.75">
      <c r="A253" s="14"/>
      <c r="B253" s="14"/>
      <c r="C253" s="89"/>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row>
    <row r="254" spans="1:28" ht="18.75">
      <c r="A254" s="14"/>
      <c r="B254" s="14"/>
      <c r="C254" s="89"/>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row>
    <row r="255" spans="1:28" ht="18.75">
      <c r="A255" s="14"/>
      <c r="B255" s="14"/>
      <c r="C255" s="89"/>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row>
    <row r="256" spans="1:28" ht="18.75">
      <c r="A256" s="14"/>
      <c r="B256" s="14"/>
      <c r="C256" s="89"/>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row>
    <row r="257" spans="1:28" ht="18.75">
      <c r="A257" s="14"/>
      <c r="B257" s="14"/>
      <c r="C257" s="89"/>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row>
    <row r="258" spans="1:28" ht="18.75">
      <c r="A258" s="14"/>
      <c r="B258" s="14"/>
      <c r="C258" s="89"/>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row>
    <row r="259" spans="1:28" ht="18.75">
      <c r="A259" s="14"/>
      <c r="B259" s="14"/>
      <c r="C259" s="89"/>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row>
    <row r="260" spans="1:28" ht="18.75">
      <c r="A260" s="14"/>
      <c r="B260" s="14"/>
      <c r="C260" s="89"/>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row>
    <row r="261" spans="1:28" ht="18.75">
      <c r="A261" s="14"/>
      <c r="B261" s="14"/>
      <c r="C261" s="89"/>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row>
    <row r="262" spans="1:28" ht="18.75">
      <c r="A262" s="14"/>
      <c r="B262" s="14"/>
      <c r="C262" s="89"/>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row>
    <row r="263" spans="1:28" ht="18.75">
      <c r="A263" s="14"/>
      <c r="B263" s="14"/>
      <c r="C263" s="89"/>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row>
    <row r="264" spans="1:28" ht="18.75">
      <c r="A264" s="14"/>
      <c r="B264" s="14"/>
      <c r="C264" s="89"/>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row>
    <row r="265" spans="1:28" ht="18.75">
      <c r="A265" s="14"/>
      <c r="B265" s="14"/>
      <c r="C265" s="89"/>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row>
    <row r="266" spans="1:28" ht="18.75">
      <c r="A266" s="14"/>
      <c r="B266" s="14"/>
      <c r="C266" s="89"/>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row>
    <row r="267" spans="1:28" ht="18.75">
      <c r="A267" s="14"/>
      <c r="B267" s="14"/>
      <c r="C267" s="89"/>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row>
    <row r="268" spans="1:28" ht="18.75">
      <c r="A268" s="14"/>
      <c r="B268" s="14"/>
      <c r="C268" s="89"/>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row>
    <row r="269" spans="1:28" ht="18.75">
      <c r="A269" s="14"/>
      <c r="B269" s="14"/>
      <c r="C269" s="89"/>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row>
    <row r="270" spans="1:28" ht="18.75">
      <c r="A270" s="14"/>
      <c r="B270" s="14"/>
      <c r="C270" s="89"/>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row>
    <row r="271" spans="1:28" ht="18.75">
      <c r="A271" s="14"/>
      <c r="B271" s="14"/>
      <c r="C271" s="89"/>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row>
    <row r="272" spans="1:28" ht="18.75">
      <c r="A272" s="14"/>
      <c r="B272" s="14"/>
      <c r="C272" s="89"/>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row>
    <row r="273" spans="1:28" ht="18.75">
      <c r="A273" s="14"/>
      <c r="B273" s="14"/>
      <c r="C273" s="89"/>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row>
    <row r="274" spans="1:28" ht="18.75">
      <c r="A274" s="14"/>
      <c r="B274" s="14"/>
      <c r="C274" s="89"/>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row>
    <row r="275" spans="1:28" ht="18.75">
      <c r="A275" s="14"/>
      <c r="B275" s="14"/>
      <c r="C275" s="89"/>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row>
    <row r="276" spans="1:28" ht="18.75">
      <c r="A276" s="14"/>
      <c r="B276" s="14"/>
      <c r="C276" s="89"/>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row>
    <row r="277" spans="1:28" ht="18.75">
      <c r="A277" s="14"/>
      <c r="B277" s="14"/>
      <c r="C277" s="89"/>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row>
    <row r="278" spans="1:28" ht="18.75">
      <c r="A278" s="14"/>
      <c r="B278" s="14"/>
      <c r="C278" s="89"/>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row>
    <row r="279" spans="1:28" ht="18.75">
      <c r="A279" s="14"/>
      <c r="B279" s="14"/>
      <c r="C279" s="89"/>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row>
    <row r="280" spans="1:28" ht="18.75">
      <c r="A280" s="14"/>
      <c r="B280" s="14"/>
      <c r="C280" s="89"/>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row>
    <row r="281" spans="1:28" ht="18.75">
      <c r="A281" s="14"/>
      <c r="B281" s="14"/>
      <c r="C281" s="89"/>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row>
    <row r="282" spans="1:28" ht="18.75">
      <c r="A282" s="14"/>
      <c r="B282" s="14"/>
      <c r="C282" s="89"/>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row>
    <row r="283" spans="1:28" ht="18.75">
      <c r="A283" s="14"/>
      <c r="B283" s="14"/>
      <c r="C283" s="89"/>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row>
    <row r="284" spans="1:28" ht="18.75">
      <c r="A284" s="14"/>
      <c r="B284" s="14"/>
      <c r="C284" s="89"/>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row>
    <row r="285" spans="1:28" ht="18.75">
      <c r="A285" s="14"/>
      <c r="B285" s="14"/>
      <c r="C285" s="89"/>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row>
    <row r="286" spans="1:28" ht="18.75">
      <c r="A286" s="14"/>
      <c r="B286" s="14"/>
      <c r="C286" s="89"/>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row>
    <row r="287" spans="1:28" ht="18.75">
      <c r="A287" s="14"/>
      <c r="B287" s="14"/>
      <c r="C287" s="89"/>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row>
    <row r="288" spans="1:28" ht="18.75">
      <c r="A288" s="14"/>
      <c r="B288" s="14"/>
      <c r="C288" s="89"/>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row>
    <row r="289" spans="1:28" ht="18.75">
      <c r="A289" s="14"/>
      <c r="B289" s="14"/>
      <c r="C289" s="89"/>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row>
    <row r="290" spans="1:28" ht="18.75">
      <c r="A290" s="14"/>
      <c r="B290" s="14"/>
      <c r="C290" s="89"/>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row>
    <row r="291" spans="1:28" ht="18.75">
      <c r="A291" s="14"/>
      <c r="B291" s="14"/>
      <c r="C291" s="89"/>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row>
    <row r="292" spans="1:28" ht="18.75">
      <c r="A292" s="14"/>
      <c r="B292" s="14"/>
      <c r="C292" s="89"/>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row>
    <row r="293" spans="1:28" ht="18.75">
      <c r="A293" s="14"/>
      <c r="B293" s="14"/>
      <c r="C293" s="89"/>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row>
    <row r="294" spans="1:28" ht="18.75">
      <c r="A294" s="14"/>
      <c r="B294" s="14"/>
      <c r="C294" s="89"/>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row>
    <row r="295" spans="1:28" ht="18.75">
      <c r="A295" s="14"/>
      <c r="B295" s="14"/>
      <c r="C295" s="89"/>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row>
    <row r="296" spans="1:28" ht="18.75">
      <c r="A296" s="14"/>
      <c r="B296" s="14"/>
      <c r="C296" s="89"/>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row>
    <row r="297" spans="1:28" ht="18.75">
      <c r="A297" s="14"/>
      <c r="B297" s="14"/>
      <c r="C297" s="89"/>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row>
    <row r="298" spans="1:28" ht="18.75">
      <c r="A298" s="14"/>
      <c r="B298" s="14"/>
      <c r="C298" s="89"/>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row>
    <row r="299" spans="1:28" ht="18.75">
      <c r="A299" s="14"/>
      <c r="B299" s="14"/>
      <c r="C299" s="89"/>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row>
    <row r="300" spans="1:28" ht="18.75">
      <c r="A300" s="14"/>
      <c r="B300" s="14"/>
      <c r="C300" s="89"/>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row>
    <row r="301" spans="1:28" ht="18.75">
      <c r="A301" s="14"/>
      <c r="B301" s="14"/>
      <c r="C301" s="89"/>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row>
    <row r="302" spans="1:28" ht="18.75">
      <c r="A302" s="14"/>
      <c r="B302" s="14"/>
      <c r="C302" s="89"/>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row>
    <row r="303" spans="1:28" ht="18.75">
      <c r="A303" s="14"/>
      <c r="B303" s="14"/>
      <c r="C303" s="89"/>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row>
    <row r="304" spans="1:28" ht="18.75">
      <c r="A304" s="14"/>
      <c r="B304" s="14"/>
      <c r="C304" s="89"/>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row>
    <row r="305" spans="1:28" ht="18.75">
      <c r="A305" s="14"/>
      <c r="B305" s="14"/>
      <c r="C305" s="89"/>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row>
    <row r="306" spans="1:28" ht="18.75">
      <c r="A306" s="14"/>
      <c r="B306" s="14"/>
      <c r="C306" s="89"/>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row>
    <row r="307" spans="1:28" ht="18.75">
      <c r="A307" s="14"/>
      <c r="B307" s="14"/>
      <c r="C307" s="89"/>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row>
    <row r="308" spans="1:28" ht="18.75">
      <c r="A308" s="14"/>
      <c r="B308" s="14"/>
      <c r="C308" s="89"/>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row>
    <row r="309" spans="1:28" ht="18.75">
      <c r="A309" s="14"/>
      <c r="B309" s="14"/>
      <c r="C309" s="89"/>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row>
    <row r="310" spans="1:28" ht="18.75">
      <c r="A310" s="14"/>
      <c r="B310" s="14"/>
      <c r="C310" s="89"/>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row>
    <row r="311" spans="1:28" ht="18.75">
      <c r="A311" s="14"/>
      <c r="B311" s="14"/>
      <c r="C311" s="89"/>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row>
    <row r="312" spans="1:28" ht="18.75">
      <c r="A312" s="14"/>
      <c r="B312" s="14"/>
      <c r="C312" s="89"/>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row>
    <row r="313" spans="1:28" ht="18.75">
      <c r="A313" s="14"/>
      <c r="B313" s="14"/>
      <c r="C313" s="89"/>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row>
    <row r="314" spans="1:28" ht="18.75">
      <c r="A314" s="14"/>
      <c r="B314" s="14"/>
      <c r="C314" s="89"/>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row>
    <row r="315" spans="1:28" ht="18.75">
      <c r="A315" s="14"/>
      <c r="B315" s="14"/>
      <c r="C315" s="89"/>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row>
    <row r="316" spans="1:28" ht="18.75">
      <c r="A316" s="14"/>
      <c r="B316" s="14"/>
      <c r="C316" s="89"/>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row>
    <row r="317" spans="1:28" ht="18.75">
      <c r="A317" s="14"/>
      <c r="B317" s="14"/>
      <c r="C317" s="89"/>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row>
    <row r="318" spans="1:28" ht="18.75">
      <c r="A318" s="14"/>
      <c r="B318" s="14"/>
      <c r="C318" s="89"/>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row>
    <row r="319" spans="1:28" ht="18.75">
      <c r="A319" s="14"/>
      <c r="B319" s="14"/>
      <c r="C319" s="89"/>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row>
    <row r="320" spans="1:28" ht="18.75">
      <c r="A320" s="14"/>
      <c r="B320" s="14"/>
      <c r="C320" s="89"/>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row>
    <row r="321" spans="1:28" ht="18.75">
      <c r="A321" s="14"/>
      <c r="B321" s="14"/>
      <c r="C321" s="89"/>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row>
    <row r="322" spans="1:28" ht="18.75">
      <c r="A322" s="14"/>
      <c r="B322" s="14"/>
      <c r="C322" s="89"/>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row>
    <row r="323" spans="1:28" ht="18.75">
      <c r="A323" s="14"/>
      <c r="B323" s="14"/>
      <c r="C323" s="89"/>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row>
    <row r="324" spans="1:28" ht="18.75">
      <c r="A324" s="14"/>
      <c r="B324" s="14"/>
      <c r="C324" s="89"/>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row>
    <row r="325" spans="1:28" ht="18.75">
      <c r="A325" s="14"/>
      <c r="B325" s="14"/>
      <c r="C325" s="89"/>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row>
    <row r="326" spans="1:28" ht="18.75">
      <c r="A326" s="14"/>
      <c r="B326" s="14"/>
      <c r="C326" s="89"/>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row>
    <row r="327" spans="1:28" ht="18.75">
      <c r="A327" s="14"/>
      <c r="B327" s="14"/>
      <c r="C327" s="89"/>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row>
    <row r="328" spans="1:28" ht="18.75">
      <c r="A328" s="14"/>
      <c r="B328" s="14"/>
      <c r="C328" s="89"/>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row>
    <row r="329" spans="1:28" ht="18.75">
      <c r="A329" s="14"/>
      <c r="B329" s="14"/>
      <c r="C329" s="89"/>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row>
    <row r="330" spans="1:28" ht="18.75">
      <c r="A330" s="14"/>
      <c r="B330" s="14"/>
      <c r="C330" s="89"/>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row>
    <row r="331" spans="1:28" ht="18.75">
      <c r="A331" s="14"/>
      <c r="B331" s="14"/>
      <c r="C331" s="89"/>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row>
    <row r="332" spans="1:28" ht="18.75">
      <c r="A332" s="14"/>
      <c r="B332" s="14"/>
      <c r="C332" s="89"/>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row>
    <row r="333" spans="1:28" ht="18.75">
      <c r="A333" s="14"/>
      <c r="B333" s="14"/>
      <c r="C333" s="89"/>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row>
    <row r="334" spans="1:28" ht="18.75">
      <c r="A334" s="14"/>
      <c r="B334" s="14"/>
      <c r="C334" s="89"/>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row>
    <row r="335" spans="1:28" ht="18.75">
      <c r="A335" s="14"/>
      <c r="B335" s="14"/>
      <c r="C335" s="89"/>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row>
    <row r="336" spans="1:28" ht="18.75">
      <c r="A336" s="14"/>
      <c r="B336" s="14"/>
      <c r="C336" s="89"/>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row>
    <row r="337" spans="1:28" ht="18.75">
      <c r="A337" s="14"/>
      <c r="B337" s="14"/>
      <c r="C337" s="89"/>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row>
    <row r="338" spans="1:28" ht="18.75">
      <c r="A338" s="14"/>
      <c r="B338" s="14"/>
      <c r="C338" s="89"/>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row>
    <row r="339" spans="1:28" ht="18.75">
      <c r="A339" s="14"/>
      <c r="B339" s="14"/>
      <c r="C339" s="89"/>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row>
    <row r="340" spans="1:28" ht="18.75">
      <c r="A340" s="14"/>
      <c r="B340" s="14"/>
      <c r="C340" s="89"/>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row>
    <row r="341" spans="1:28" ht="18.75">
      <c r="A341" s="14"/>
      <c r="B341" s="14"/>
      <c r="C341" s="89"/>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row>
    <row r="342" spans="1:28" ht="18.75">
      <c r="A342" s="14"/>
      <c r="B342" s="14"/>
      <c r="C342" s="89"/>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row>
    <row r="343" spans="1:28" ht="18.75">
      <c r="A343" s="14"/>
      <c r="B343" s="14"/>
      <c r="C343" s="89"/>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row>
    <row r="344" spans="1:28" ht="18.75">
      <c r="A344" s="14"/>
      <c r="B344" s="14"/>
      <c r="C344" s="89"/>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row>
    <row r="345" spans="1:28" ht="18.75">
      <c r="A345" s="14"/>
      <c r="B345" s="14"/>
      <c r="C345" s="89"/>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row>
    <row r="346" spans="1:28" ht="18.75">
      <c r="A346" s="14"/>
      <c r="B346" s="14"/>
      <c r="C346" s="89"/>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row>
    <row r="347" spans="1:28" ht="18.75">
      <c r="A347" s="14"/>
      <c r="B347" s="14"/>
      <c r="C347" s="89"/>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row>
    <row r="348" spans="1:28" ht="18.75">
      <c r="A348" s="14"/>
      <c r="B348" s="14"/>
      <c r="C348" s="89"/>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row>
    <row r="349" spans="1:28" ht="18.75">
      <c r="A349" s="14"/>
      <c r="B349" s="14"/>
      <c r="C349" s="89"/>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row>
    <row r="350" spans="1:28" ht="18.75">
      <c r="A350" s="14"/>
      <c r="B350" s="14"/>
      <c r="C350" s="89"/>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row>
    <row r="351" spans="1:28" ht="18.75">
      <c r="A351" s="14"/>
      <c r="B351" s="14"/>
      <c r="C351" s="89"/>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row>
    <row r="352" spans="1:28" ht="18.75">
      <c r="A352" s="14"/>
      <c r="B352" s="14"/>
      <c r="C352" s="89"/>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row>
    <row r="353" spans="1:28" ht="18.75">
      <c r="A353" s="14"/>
      <c r="B353" s="14"/>
      <c r="C353" s="89"/>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row>
    <row r="354" spans="1:28" ht="18.75">
      <c r="A354" s="14"/>
      <c r="B354" s="14"/>
      <c r="C354" s="89"/>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row>
    <row r="355" spans="1:28" ht="18.75">
      <c r="A355" s="14"/>
      <c r="B355" s="14"/>
      <c r="C355" s="89"/>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row>
    <row r="356" spans="1:28" ht="18.75">
      <c r="A356" s="14"/>
      <c r="B356" s="14"/>
      <c r="C356" s="89"/>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row>
    <row r="357" spans="1:28" ht="18.75">
      <c r="A357" s="14"/>
      <c r="B357" s="14"/>
      <c r="C357" s="89"/>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row>
    <row r="358" spans="1:28" ht="18.75">
      <c r="A358" s="14"/>
      <c r="B358" s="14"/>
      <c r="C358" s="89"/>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row>
    <row r="359" spans="1:28" ht="18.75">
      <c r="A359" s="14"/>
      <c r="B359" s="14"/>
      <c r="C359" s="89"/>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row>
    <row r="360" spans="1:28" ht="18.75">
      <c r="A360" s="14"/>
      <c r="B360" s="14"/>
      <c r="C360" s="89"/>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row>
    <row r="361" spans="1:28" ht="18.75">
      <c r="A361" s="14"/>
      <c r="B361" s="14"/>
      <c r="C361" s="89"/>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row>
    <row r="362" spans="1:28" ht="18.75">
      <c r="A362" s="14"/>
      <c r="B362" s="14"/>
      <c r="C362" s="89"/>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row>
    <row r="363" spans="1:28" ht="18.75">
      <c r="A363" s="14"/>
      <c r="B363" s="14"/>
      <c r="C363" s="89"/>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row>
    <row r="364" spans="1:28" ht="18.75">
      <c r="A364" s="14"/>
      <c r="B364" s="14"/>
      <c r="C364" s="89"/>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row>
    <row r="365" spans="1:28" ht="18.75">
      <c r="A365" s="14"/>
      <c r="B365" s="14"/>
      <c r="C365" s="89"/>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row>
    <row r="366" spans="1:28" ht="18.75">
      <c r="A366" s="14"/>
      <c r="B366" s="14"/>
      <c r="C366" s="89"/>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row>
    <row r="367" spans="1:28" ht="18.75">
      <c r="A367" s="14"/>
      <c r="B367" s="14"/>
      <c r="C367" s="89"/>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row>
    <row r="368" spans="1:28" ht="18.75">
      <c r="A368" s="14"/>
      <c r="B368" s="14"/>
      <c r="C368" s="89"/>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row>
    <row r="369" spans="1:28" ht="18.75">
      <c r="A369" s="14"/>
      <c r="B369" s="14"/>
      <c r="C369" s="89"/>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row>
    <row r="370" spans="1:28" ht="18.75">
      <c r="A370" s="14"/>
      <c r="B370" s="14"/>
      <c r="C370" s="89"/>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row>
    <row r="371" spans="1:28" ht="18.75">
      <c r="A371" s="14"/>
      <c r="B371" s="14"/>
      <c r="C371" s="89"/>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row>
    <row r="372" spans="1:28" ht="18.75">
      <c r="A372" s="14"/>
      <c r="B372" s="14"/>
      <c r="C372" s="89"/>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row>
    <row r="373" spans="1:28" ht="18.75">
      <c r="A373" s="14"/>
      <c r="B373" s="14"/>
      <c r="C373" s="89"/>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row>
    <row r="374" spans="1:28" ht="18.75">
      <c r="A374" s="14"/>
      <c r="B374" s="14"/>
      <c r="C374" s="89"/>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row>
    <row r="375" spans="1:28" ht="18.75">
      <c r="A375" s="14"/>
      <c r="B375" s="14"/>
      <c r="C375" s="89"/>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row>
    <row r="376" spans="1:28" ht="18.75">
      <c r="A376" s="14"/>
      <c r="B376" s="14"/>
      <c r="C376" s="89"/>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row>
    <row r="377" spans="1:28" ht="18.75">
      <c r="A377" s="14"/>
      <c r="B377" s="14"/>
      <c r="C377" s="89"/>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row>
    <row r="378" spans="1:28" ht="18.75">
      <c r="A378" s="14"/>
      <c r="B378" s="14"/>
      <c r="C378" s="89"/>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row>
    <row r="379" spans="1:28" ht="18.75">
      <c r="A379" s="14"/>
      <c r="B379" s="14"/>
      <c r="C379" s="89"/>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row>
    <row r="380" spans="1:28" ht="18.75">
      <c r="A380" s="14"/>
      <c r="B380" s="14"/>
      <c r="C380" s="89"/>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row>
    <row r="381" spans="1:28" ht="18.75">
      <c r="A381" s="14"/>
      <c r="B381" s="14"/>
      <c r="C381" s="89"/>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row>
    <row r="382" spans="1:28" ht="18.75">
      <c r="A382" s="14"/>
      <c r="B382" s="14"/>
      <c r="C382" s="89"/>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row>
    <row r="383" spans="1:28" ht="18.75">
      <c r="A383" s="14"/>
      <c r="B383" s="14"/>
      <c r="C383" s="89"/>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row>
    <row r="384" spans="1:28" ht="18.75">
      <c r="A384" s="14"/>
      <c r="B384" s="14"/>
      <c r="C384" s="89"/>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row>
    <row r="385" spans="1:28" ht="18.75">
      <c r="A385" s="14"/>
      <c r="B385" s="14"/>
      <c r="C385" s="89"/>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row>
    <row r="386" spans="1:28" ht="18.75">
      <c r="A386" s="14"/>
      <c r="B386" s="14"/>
      <c r="C386" s="89"/>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row>
    <row r="387" spans="1:28" ht="18.75">
      <c r="A387" s="14"/>
      <c r="B387" s="14"/>
      <c r="C387" s="89"/>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row>
    <row r="388" spans="1:28" ht="18.75">
      <c r="A388" s="14"/>
      <c r="B388" s="14"/>
      <c r="C388" s="89"/>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row>
    <row r="389" spans="1:28" ht="18.75">
      <c r="A389" s="14"/>
      <c r="B389" s="14"/>
      <c r="C389" s="89"/>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row>
    <row r="390" spans="1:28" ht="18.75">
      <c r="A390" s="14"/>
      <c r="B390" s="14"/>
      <c r="C390" s="89"/>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row>
    <row r="391" spans="1:28" ht="18.75">
      <c r="A391" s="14"/>
      <c r="B391" s="14"/>
      <c r="C391" s="89"/>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row>
    <row r="392" spans="1:28" ht="18.75">
      <c r="A392" s="14"/>
      <c r="B392" s="14"/>
      <c r="C392" s="89"/>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row>
    <row r="393" spans="1:28" ht="18.75">
      <c r="A393" s="14"/>
      <c r="B393" s="14"/>
      <c r="C393" s="89"/>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row>
    <row r="394" spans="1:28" ht="18.75">
      <c r="A394" s="14"/>
      <c r="B394" s="14"/>
      <c r="C394" s="89"/>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row>
    <row r="395" spans="1:28" ht="18.75">
      <c r="A395" s="14"/>
      <c r="B395" s="14"/>
      <c r="C395" s="89"/>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row>
    <row r="396" spans="1:28" ht="18.75">
      <c r="A396" s="14"/>
      <c r="B396" s="14"/>
      <c r="C396" s="89"/>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row>
    <row r="397" spans="1:28" ht="18.75">
      <c r="A397" s="14"/>
      <c r="B397" s="14"/>
      <c r="C397" s="89"/>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row>
    <row r="398" spans="1:28" ht="18.75">
      <c r="A398" s="14"/>
      <c r="B398" s="14"/>
      <c r="C398" s="89"/>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row>
    <row r="399" spans="1:28" ht="18.75">
      <c r="A399" s="14"/>
      <c r="B399" s="14"/>
      <c r="C399" s="89"/>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row>
    <row r="400" spans="1:28" ht="18.75">
      <c r="A400" s="14"/>
      <c r="B400" s="14"/>
      <c r="C400" s="89"/>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row>
    <row r="401" spans="1:28" ht="18.75">
      <c r="A401" s="14"/>
      <c r="B401" s="14"/>
      <c r="C401" s="89"/>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row>
    <row r="402" spans="1:28" ht="18.75">
      <c r="A402" s="14"/>
      <c r="B402" s="14"/>
      <c r="C402" s="89"/>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row>
    <row r="403" spans="1:28" ht="18.75">
      <c r="A403" s="14"/>
      <c r="B403" s="14"/>
      <c r="C403" s="89"/>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row>
    <row r="404" spans="1:28" ht="18.75">
      <c r="A404" s="14"/>
      <c r="B404" s="14"/>
      <c r="C404" s="89"/>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row>
    <row r="405" spans="1:28" ht="18.75">
      <c r="A405" s="14"/>
      <c r="B405" s="14"/>
      <c r="C405" s="89"/>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row>
    <row r="406" spans="1:28" ht="18.75">
      <c r="A406" s="14"/>
      <c r="B406" s="14"/>
      <c r="C406" s="89"/>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row>
    <row r="407" spans="1:28" ht="18.75">
      <c r="A407" s="14"/>
      <c r="B407" s="14"/>
      <c r="C407" s="89"/>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row>
    <row r="408" spans="1:28" ht="18.75">
      <c r="A408" s="14"/>
      <c r="B408" s="14"/>
      <c r="C408" s="89"/>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row>
    <row r="409" spans="1:28" ht="18.75">
      <c r="A409" s="14"/>
      <c r="B409" s="14"/>
      <c r="C409" s="89"/>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row>
    <row r="410" spans="1:28" ht="18.75">
      <c r="A410" s="14"/>
      <c r="B410" s="14"/>
      <c r="C410" s="89"/>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row>
    <row r="411" spans="1:28" ht="18.75">
      <c r="A411" s="14"/>
      <c r="B411" s="14"/>
      <c r="C411" s="89"/>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row>
    <row r="412" spans="1:28" ht="18.75">
      <c r="A412" s="14"/>
      <c r="B412" s="14"/>
      <c r="C412" s="89"/>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row>
    <row r="413" spans="1:28" ht="18.75">
      <c r="A413" s="14"/>
      <c r="B413" s="14"/>
      <c r="C413" s="89"/>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row>
    <row r="414" spans="1:28" ht="18.75">
      <c r="A414" s="14"/>
      <c r="B414" s="14"/>
      <c r="C414" s="89"/>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row>
    <row r="415" spans="1:28" ht="18.75">
      <c r="A415" s="14"/>
      <c r="B415" s="14"/>
      <c r="C415" s="89"/>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row>
    <row r="416" spans="1:28" ht="18.75">
      <c r="A416" s="14"/>
      <c r="B416" s="14"/>
      <c r="C416" s="89"/>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row>
    <row r="417" spans="1:28" ht="18.75">
      <c r="A417" s="14"/>
      <c r="B417" s="14"/>
      <c r="C417" s="89"/>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row>
    <row r="418" spans="1:28" ht="18.75">
      <c r="A418" s="14"/>
      <c r="B418" s="14"/>
      <c r="C418" s="89"/>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row>
    <row r="419" spans="1:28" ht="18.75">
      <c r="A419" s="14"/>
      <c r="B419" s="14"/>
      <c r="C419" s="89"/>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row>
    <row r="420" spans="1:28" ht="18.75">
      <c r="A420" s="14"/>
      <c r="B420" s="14"/>
      <c r="C420" s="89"/>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row>
    <row r="421" spans="1:28" ht="18.75">
      <c r="A421" s="14"/>
      <c r="B421" s="14"/>
      <c r="C421" s="89"/>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row>
    <row r="422" spans="1:28" ht="18.75">
      <c r="A422" s="14"/>
      <c r="B422" s="14"/>
      <c r="C422" s="89"/>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row>
    <row r="423" spans="1:28" ht="18.75">
      <c r="A423" s="14"/>
      <c r="B423" s="14"/>
      <c r="C423" s="89"/>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row>
    <row r="424" spans="1:28" ht="18.75">
      <c r="A424" s="14"/>
      <c r="B424" s="14"/>
      <c r="C424" s="89"/>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row>
    <row r="425" spans="1:28" ht="18.75">
      <c r="A425" s="14"/>
      <c r="B425" s="14"/>
      <c r="C425" s="89"/>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row>
    <row r="426" spans="1:28" ht="18.75">
      <c r="A426" s="14"/>
      <c r="B426" s="14"/>
      <c r="C426" s="89"/>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row>
    <row r="427" spans="1:28" ht="18.75">
      <c r="A427" s="14"/>
      <c r="B427" s="14"/>
      <c r="C427" s="89"/>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row>
    <row r="428" spans="1:28" ht="18.75">
      <c r="A428" s="14"/>
      <c r="B428" s="14"/>
      <c r="C428" s="89"/>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row>
    <row r="429" spans="1:28" ht="18.75">
      <c r="A429" s="14"/>
      <c r="B429" s="14"/>
      <c r="C429" s="89"/>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row>
    <row r="430" spans="1:28" ht="18.75">
      <c r="A430" s="14"/>
      <c r="B430" s="14"/>
      <c r="C430" s="89"/>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row>
    <row r="431" spans="1:28" ht="18.75">
      <c r="A431" s="14"/>
      <c r="B431" s="14"/>
      <c r="C431" s="91"/>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row>
    <row r="432" spans="1:28" ht="18.75">
      <c r="A432" s="14"/>
      <c r="B432" s="14"/>
      <c r="C432" s="91"/>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row>
    <row r="433" spans="1:28" ht="18.75">
      <c r="A433" s="14"/>
      <c r="B433" s="14"/>
      <c r="C433" s="91"/>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row>
    <row r="434" spans="1:28" ht="18.75">
      <c r="A434" s="14"/>
      <c r="B434" s="14"/>
      <c r="C434" s="91"/>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row>
    <row r="435" spans="1:28" ht="18.75">
      <c r="A435" s="14"/>
      <c r="B435" s="14"/>
      <c r="C435" s="91"/>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row>
    <row r="436" spans="1:28" ht="18.75">
      <c r="A436" s="14"/>
      <c r="B436" s="14"/>
      <c r="C436" s="91"/>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row>
    <row r="437" spans="1:28" ht="18.75">
      <c r="A437" s="14"/>
      <c r="B437" s="14"/>
      <c r="C437" s="91"/>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row>
    <row r="438" spans="1:28" ht="18.75">
      <c r="A438" s="14"/>
      <c r="B438" s="14"/>
      <c r="C438" s="91"/>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row>
    <row r="439" spans="1:28" ht="18.75">
      <c r="A439" s="14"/>
      <c r="B439" s="14"/>
      <c r="C439" s="91"/>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row>
    <row r="440" spans="1:28" ht="18.75">
      <c r="A440" s="14"/>
      <c r="B440" s="14"/>
      <c r="C440" s="91"/>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row>
    <row r="441" spans="1:28" ht="18.75">
      <c r="A441" s="14"/>
      <c r="B441" s="14"/>
      <c r="C441" s="91"/>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row>
    <row r="442" spans="1:28" ht="18.75">
      <c r="A442" s="14"/>
      <c r="B442" s="14"/>
      <c r="C442" s="91"/>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row>
    <row r="443" spans="1:28" ht="18.75">
      <c r="A443" s="14"/>
      <c r="B443" s="14"/>
      <c r="C443" s="91"/>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row>
    <row r="444" spans="1:28" ht="18.75">
      <c r="A444" s="14"/>
      <c r="B444" s="14"/>
      <c r="C444" s="91"/>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row>
    <row r="445" spans="1:28" ht="18.75">
      <c r="A445" s="14"/>
      <c r="B445" s="14"/>
      <c r="C445" s="91"/>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row>
    <row r="446" spans="1:28" ht="18.75">
      <c r="A446" s="14"/>
      <c r="B446" s="14"/>
      <c r="C446" s="91"/>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row>
    <row r="447" spans="1:28" ht="18.75">
      <c r="A447" s="14"/>
      <c r="B447" s="14"/>
      <c r="C447" s="91"/>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row>
    <row r="448" spans="1:28" ht="18.75">
      <c r="A448" s="14"/>
      <c r="B448" s="14"/>
      <c r="C448" s="91"/>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row>
    <row r="449" spans="1:28" ht="18.75">
      <c r="A449" s="14"/>
      <c r="B449" s="14"/>
      <c r="C449" s="91"/>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row>
    <row r="450" spans="1:28" ht="18.75">
      <c r="A450" s="14"/>
      <c r="B450" s="14"/>
      <c r="C450" s="91"/>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row>
    <row r="451" spans="1:28" ht="18.75">
      <c r="A451" s="14"/>
      <c r="B451" s="14"/>
      <c r="C451" s="91"/>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row>
    <row r="452" spans="1:28" ht="18.75">
      <c r="A452" s="14"/>
      <c r="B452" s="14"/>
      <c r="C452" s="91"/>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row>
    <row r="453" spans="1:28" ht="18.75">
      <c r="A453" s="14"/>
      <c r="B453" s="14"/>
      <c r="C453" s="91"/>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row>
    <row r="454" spans="1:28" ht="18.75">
      <c r="A454" s="14"/>
      <c r="B454" s="14"/>
      <c r="C454" s="91"/>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row>
    <row r="455" spans="1:28" ht="18.75">
      <c r="A455" s="14"/>
      <c r="B455" s="14"/>
      <c r="C455" s="91"/>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row>
    <row r="456" spans="1:28" ht="18.75">
      <c r="A456" s="14"/>
      <c r="B456" s="14"/>
      <c r="C456" s="91"/>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row>
    <row r="457" spans="1:28" ht="18.75">
      <c r="A457" s="14"/>
      <c r="B457" s="14"/>
      <c r="C457" s="91"/>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row>
    <row r="458" spans="1:28" ht="18.75">
      <c r="A458" s="14"/>
      <c r="B458" s="14"/>
      <c r="C458" s="91"/>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row>
    <row r="459" spans="1:28" ht="18.75">
      <c r="A459" s="14"/>
      <c r="B459" s="14"/>
      <c r="C459" s="91"/>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row>
    <row r="460" spans="1:28" ht="18.75">
      <c r="A460" s="14"/>
      <c r="B460" s="14"/>
      <c r="C460" s="91"/>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row>
    <row r="461" spans="1:28" ht="18.75">
      <c r="A461" s="14"/>
      <c r="B461" s="14"/>
      <c r="C461" s="91"/>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row>
    <row r="462" spans="1:28" ht="18.75">
      <c r="A462" s="14"/>
      <c r="B462" s="14"/>
      <c r="C462" s="91"/>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row>
    <row r="463" spans="1:28" ht="18.75">
      <c r="A463" s="14"/>
      <c r="B463" s="14"/>
      <c r="C463" s="91"/>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row>
    <row r="464" spans="1:28" ht="18.75">
      <c r="A464" s="14"/>
      <c r="B464" s="14"/>
      <c r="C464" s="91"/>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row>
    <row r="465" spans="1:28" ht="18.75">
      <c r="A465" s="14"/>
      <c r="B465" s="14"/>
      <c r="C465" s="91"/>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row>
    <row r="466" spans="1:28" ht="18.75">
      <c r="A466" s="14"/>
      <c r="B466" s="14"/>
      <c r="C466" s="91"/>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row>
    <row r="467" spans="1:28" ht="18.75">
      <c r="A467" s="14"/>
      <c r="B467" s="14"/>
      <c r="C467" s="91"/>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row>
    <row r="468" spans="1:28" ht="18.75">
      <c r="A468" s="14"/>
      <c r="B468" s="14"/>
      <c r="C468" s="91"/>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row>
    <row r="469" spans="1:28" ht="18.75">
      <c r="A469" s="14"/>
      <c r="B469" s="14"/>
      <c r="C469" s="91"/>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row>
    <row r="470" spans="1:28" ht="18.75">
      <c r="A470" s="14"/>
      <c r="B470" s="14"/>
      <c r="C470" s="91"/>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row>
    <row r="471" spans="1:28" ht="18.75">
      <c r="A471" s="14"/>
      <c r="B471" s="14"/>
      <c r="C471" s="91"/>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row>
    <row r="472" spans="1:28" ht="18.75">
      <c r="A472" s="14"/>
      <c r="B472" s="14"/>
      <c r="C472" s="91"/>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row>
    <row r="473" spans="1:28" ht="18.75">
      <c r="A473" s="14"/>
      <c r="B473" s="14"/>
      <c r="C473" s="91"/>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row>
    <row r="474" spans="1:28" ht="18.75">
      <c r="A474" s="14"/>
      <c r="B474" s="14"/>
      <c r="C474" s="91"/>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row>
    <row r="475" spans="1:28" ht="18.75">
      <c r="A475" s="14"/>
      <c r="B475" s="14"/>
      <c r="C475" s="91"/>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row>
    <row r="476" spans="1:28" ht="18.75">
      <c r="A476" s="14"/>
      <c r="B476" s="14"/>
      <c r="C476" s="91"/>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row>
    <row r="477" spans="1:28" ht="18.75">
      <c r="A477" s="14"/>
      <c r="B477" s="14"/>
      <c r="C477" s="91"/>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row>
    <row r="478" spans="1:28" ht="18.75">
      <c r="A478" s="14"/>
      <c r="B478" s="14"/>
      <c r="C478" s="91"/>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row>
    <row r="479" spans="1:28" ht="18.75">
      <c r="A479" s="14"/>
      <c r="B479" s="14"/>
      <c r="C479" s="91"/>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row>
    <row r="480" spans="1:28" ht="18.75">
      <c r="A480" s="14"/>
      <c r="B480" s="14"/>
      <c r="C480" s="91"/>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row>
    <row r="481" spans="1:28" ht="18.75">
      <c r="A481" s="14"/>
      <c r="B481" s="14"/>
      <c r="C481" s="91"/>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row>
    <row r="482" spans="1:28" ht="18.75">
      <c r="A482" s="14"/>
      <c r="B482" s="14"/>
      <c r="C482" s="91"/>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row>
    <row r="483" spans="1:28" ht="18.75">
      <c r="A483" s="14"/>
      <c r="B483" s="14"/>
      <c r="C483" s="91"/>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row>
    <row r="484" spans="1:28" ht="18.75">
      <c r="A484" s="14"/>
      <c r="B484" s="14"/>
      <c r="C484" s="91"/>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row>
    <row r="485" spans="1:28" ht="18.75">
      <c r="A485" s="14"/>
      <c r="B485" s="14"/>
      <c r="C485" s="91"/>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row>
    <row r="486" spans="1:28" ht="18.75">
      <c r="A486" s="14"/>
      <c r="B486" s="14"/>
      <c r="C486" s="91"/>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row>
    <row r="487" spans="1:28" ht="18.75">
      <c r="A487" s="14"/>
      <c r="B487" s="14"/>
      <c r="C487" s="91"/>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row>
    <row r="488" spans="1:28" ht="18.75">
      <c r="A488" s="14"/>
      <c r="B488" s="14"/>
      <c r="C488" s="91"/>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row>
    <row r="489" spans="1:28" ht="18.75">
      <c r="A489" s="14"/>
      <c r="B489" s="14"/>
      <c r="C489" s="91"/>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row>
    <row r="490" spans="1:28" ht="18.75">
      <c r="A490" s="14"/>
      <c r="B490" s="14"/>
      <c r="C490" s="91"/>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row>
    <row r="491" spans="1:28" ht="18.75">
      <c r="A491" s="14"/>
      <c r="B491" s="14"/>
      <c r="C491" s="91"/>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row>
    <row r="492" spans="1:28" ht="18.75">
      <c r="A492" s="14"/>
      <c r="B492" s="14"/>
      <c r="C492" s="91"/>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row>
    <row r="493" spans="1:28" ht="18.75">
      <c r="A493" s="14"/>
      <c r="B493" s="14"/>
      <c r="C493" s="91"/>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row>
    <row r="494" spans="1:28" ht="18.75">
      <c r="A494" s="14"/>
      <c r="B494" s="14"/>
      <c r="C494" s="91"/>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row>
    <row r="495" spans="1:28" ht="18.75">
      <c r="A495" s="14"/>
      <c r="B495" s="14"/>
      <c r="C495" s="91"/>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row>
    <row r="496" spans="1:28" ht="18.75">
      <c r="A496" s="14"/>
      <c r="B496" s="14"/>
      <c r="C496" s="91"/>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row>
    <row r="497" spans="1:28" ht="18.75">
      <c r="A497" s="14"/>
      <c r="B497" s="14"/>
      <c r="C497" s="91"/>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row>
    <row r="498" spans="1:28" ht="18.75">
      <c r="A498" s="14"/>
      <c r="B498" s="14"/>
      <c r="C498" s="91"/>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row>
    <row r="499" spans="1:28" ht="18.75">
      <c r="A499" s="14"/>
      <c r="B499" s="14"/>
      <c r="C499" s="91"/>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row>
    <row r="500" spans="1:28" ht="18.75">
      <c r="A500" s="14"/>
      <c r="B500" s="14"/>
      <c r="C500" s="91"/>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row>
    <row r="501" spans="1:28" ht="18.75">
      <c r="A501" s="14"/>
      <c r="B501" s="14"/>
      <c r="C501" s="91"/>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row>
    <row r="502" spans="1:28" ht="18.75">
      <c r="A502" s="14"/>
      <c r="B502" s="14"/>
      <c r="C502" s="91"/>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row>
    <row r="503" spans="1:28" ht="18.75">
      <c r="A503" s="14"/>
      <c r="B503" s="14"/>
      <c r="C503" s="91"/>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row>
    <row r="504" spans="1:28" ht="18.75">
      <c r="A504" s="14"/>
      <c r="B504" s="14"/>
      <c r="C504" s="91"/>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row>
    <row r="505" spans="1:28" ht="18.75">
      <c r="A505" s="14"/>
      <c r="B505" s="14"/>
      <c r="C505" s="91"/>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row>
    <row r="506" spans="1:28" ht="18.75">
      <c r="A506" s="14"/>
      <c r="B506" s="14"/>
      <c r="C506" s="91"/>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row>
    <row r="507" spans="1:28" ht="18.75">
      <c r="A507" s="14"/>
      <c r="B507" s="14"/>
      <c r="C507" s="91"/>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row>
    <row r="508" spans="1:28" ht="18.75">
      <c r="A508" s="14"/>
      <c r="B508" s="14"/>
      <c r="C508" s="91"/>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row>
    <row r="509" spans="1:28" ht="18.75">
      <c r="A509" s="14"/>
      <c r="B509" s="14"/>
      <c r="C509" s="91"/>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row>
    <row r="510" spans="1:28" ht="18.75">
      <c r="A510" s="14"/>
      <c r="B510" s="14"/>
      <c r="C510" s="91"/>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row>
    <row r="511" spans="1:28" ht="18.75">
      <c r="A511" s="14"/>
      <c r="B511" s="14"/>
      <c r="C511" s="91"/>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row>
    <row r="512" spans="1:28" ht="18.75">
      <c r="A512" s="14"/>
      <c r="B512" s="14"/>
      <c r="C512" s="91"/>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row>
    <row r="513" spans="1:28" ht="18.75">
      <c r="A513" s="14"/>
      <c r="B513" s="14"/>
      <c r="C513" s="91"/>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row>
    <row r="514" spans="1:28" ht="18.75">
      <c r="A514" s="14"/>
      <c r="B514" s="14"/>
      <c r="C514" s="91"/>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row>
    <row r="515" spans="1:28" ht="18.75">
      <c r="A515" s="14"/>
      <c r="B515" s="14"/>
      <c r="C515" s="91"/>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row>
    <row r="516" spans="1:28" ht="18.75">
      <c r="A516" s="14"/>
      <c r="B516" s="14"/>
      <c r="C516" s="91"/>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row>
    <row r="517" spans="1:28" ht="18.75">
      <c r="A517" s="14"/>
      <c r="B517" s="14"/>
      <c r="C517" s="91"/>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row>
    <row r="518" spans="1:28" ht="18.75">
      <c r="A518" s="14"/>
      <c r="B518" s="14"/>
      <c r="C518" s="91"/>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row>
    <row r="519" spans="1:28" ht="18.75">
      <c r="A519" s="14"/>
      <c r="B519" s="14"/>
      <c r="C519" s="91"/>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row>
    <row r="520" spans="1:28" ht="18.75">
      <c r="A520" s="14"/>
      <c r="B520" s="14"/>
      <c r="C520" s="91"/>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row>
    <row r="521" spans="1:28" ht="18.75">
      <c r="A521" s="14"/>
      <c r="B521" s="14"/>
      <c r="C521" s="91"/>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row>
    <row r="522" spans="1:28" ht="18.75">
      <c r="A522" s="14"/>
      <c r="B522" s="14"/>
      <c r="C522" s="91"/>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row>
    <row r="523" spans="1:28" ht="18.75">
      <c r="A523" s="14"/>
      <c r="B523" s="14"/>
      <c r="C523" s="91"/>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row>
    <row r="524" spans="1:28" ht="18.75">
      <c r="A524" s="14"/>
      <c r="B524" s="14"/>
      <c r="C524" s="91"/>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row>
    <row r="525" spans="1:28" ht="18.75">
      <c r="A525" s="14"/>
      <c r="B525" s="14"/>
      <c r="C525" s="91"/>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row>
    <row r="526" spans="1:28" ht="18.75">
      <c r="A526" s="14"/>
      <c r="B526" s="14"/>
      <c r="C526" s="91"/>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row>
    <row r="527" spans="1:28" ht="18.75">
      <c r="A527" s="14"/>
      <c r="B527" s="14"/>
      <c r="C527" s="91"/>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row>
    <row r="528" spans="1:28" ht="18.75">
      <c r="A528" s="14"/>
      <c r="B528" s="14"/>
      <c r="C528" s="91"/>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row>
    <row r="529" spans="1:28" ht="18.75">
      <c r="A529" s="14"/>
      <c r="B529" s="14"/>
      <c r="C529" s="91"/>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row>
    <row r="530" spans="1:28" ht="18.75">
      <c r="A530" s="14"/>
      <c r="B530" s="14"/>
      <c r="C530" s="91"/>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row>
    <row r="531" spans="1:28" ht="18.75">
      <c r="A531" s="14"/>
      <c r="B531" s="14"/>
      <c r="C531" s="91"/>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row>
    <row r="532" spans="1:28" ht="18.75">
      <c r="A532" s="14"/>
      <c r="B532" s="14"/>
      <c r="C532" s="91"/>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row>
    <row r="533" spans="1:28" ht="18.75">
      <c r="A533" s="14"/>
      <c r="B533" s="14"/>
      <c r="C533" s="91"/>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row>
    <row r="534" spans="1:28" ht="18.75">
      <c r="A534" s="14"/>
      <c r="B534" s="14"/>
      <c r="C534" s="91"/>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row>
    <row r="535" spans="1:28" ht="18.75">
      <c r="A535" s="14"/>
      <c r="B535" s="14"/>
      <c r="C535" s="91"/>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row>
    <row r="536" spans="1:28" ht="18.75">
      <c r="A536" s="14"/>
      <c r="B536" s="14"/>
      <c r="C536" s="91"/>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row>
    <row r="537" spans="1:28" ht="18.75">
      <c r="A537" s="14"/>
      <c r="B537" s="14"/>
      <c r="C537" s="91"/>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row>
    <row r="538" spans="1:28" ht="18.75">
      <c r="A538" s="14"/>
      <c r="B538" s="14"/>
      <c r="C538" s="91"/>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row>
    <row r="539" spans="1:28" ht="18.75">
      <c r="A539" s="14"/>
      <c r="B539" s="14"/>
      <c r="C539" s="91"/>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row>
    <row r="540" spans="1:28" ht="18.75">
      <c r="A540" s="14"/>
      <c r="B540" s="14"/>
      <c r="C540" s="91"/>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row>
    <row r="541" spans="1:28" ht="18.75">
      <c r="A541" s="14"/>
      <c r="B541" s="14"/>
      <c r="C541" s="91"/>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row>
    <row r="542" spans="1:28" ht="18.75">
      <c r="A542" s="14"/>
      <c r="B542" s="14"/>
      <c r="C542" s="91"/>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row>
    <row r="543" spans="1:28" ht="18.75">
      <c r="A543" s="14"/>
      <c r="B543" s="14"/>
      <c r="C543" s="91"/>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row>
    <row r="544" spans="1:28" ht="18.75">
      <c r="A544" s="14"/>
      <c r="B544" s="14"/>
      <c r="C544" s="91"/>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row>
    <row r="545" spans="1:28" ht="18.75">
      <c r="A545" s="14"/>
      <c r="B545" s="14"/>
      <c r="C545" s="91"/>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row>
    <row r="546" spans="1:28" ht="18.75">
      <c r="A546" s="14"/>
      <c r="B546" s="14"/>
      <c r="C546" s="91"/>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row>
    <row r="547" spans="1:28" ht="18.75">
      <c r="A547" s="14"/>
      <c r="B547" s="14"/>
      <c r="C547" s="91"/>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row>
    <row r="548" spans="1:28" ht="18.75">
      <c r="A548" s="14"/>
      <c r="B548" s="14"/>
      <c r="C548" s="91"/>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row>
    <row r="549" spans="1:28" ht="18.75">
      <c r="A549" s="14"/>
      <c r="B549" s="14"/>
      <c r="C549" s="91"/>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row>
    <row r="550" spans="1:28" ht="18.75">
      <c r="A550" s="14"/>
      <c r="B550" s="14"/>
      <c r="C550" s="91"/>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row>
    <row r="551" spans="1:28" ht="18.75">
      <c r="A551" s="14"/>
      <c r="B551" s="14"/>
      <c r="C551" s="91"/>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row>
    <row r="552" spans="1:28" ht="18.75">
      <c r="A552" s="14"/>
      <c r="B552" s="14"/>
      <c r="C552" s="91"/>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row>
    <row r="553" spans="1:28" ht="18.75">
      <c r="A553" s="14"/>
      <c r="B553" s="14"/>
      <c r="C553" s="91"/>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row>
    <row r="554" spans="1:28" ht="18.75">
      <c r="A554" s="14"/>
      <c r="B554" s="14"/>
      <c r="C554" s="91"/>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row>
    <row r="555" spans="1:28" ht="18.75">
      <c r="A555" s="14"/>
      <c r="B555" s="14"/>
      <c r="C555" s="91"/>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row>
    <row r="556" spans="1:28" ht="18.75">
      <c r="A556" s="14"/>
      <c r="B556" s="14"/>
      <c r="C556" s="91"/>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row>
    <row r="557" spans="1:28" ht="18.75">
      <c r="A557" s="14"/>
      <c r="B557" s="14"/>
      <c r="C557" s="91"/>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row>
    <row r="558" spans="1:28" ht="18.75">
      <c r="A558" s="14"/>
      <c r="B558" s="14"/>
      <c r="C558" s="91"/>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row>
    <row r="559" spans="1:28" ht="18.75">
      <c r="A559" s="14"/>
      <c r="B559" s="14"/>
      <c r="C559" s="91"/>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row>
    <row r="560" spans="1:28" ht="18.75">
      <c r="A560" s="14"/>
      <c r="B560" s="14"/>
      <c r="C560" s="91"/>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row>
    <row r="561" spans="1:28" ht="18.75">
      <c r="A561" s="14"/>
      <c r="B561" s="14"/>
      <c r="C561" s="91"/>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row>
    <row r="562" spans="1:28" ht="18.75">
      <c r="A562" s="14"/>
      <c r="B562" s="14"/>
      <c r="C562" s="91"/>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row>
    <row r="563" spans="1:28" ht="18.75">
      <c r="A563" s="14"/>
      <c r="B563" s="14"/>
      <c r="C563" s="91"/>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row>
    <row r="564" spans="1:28" ht="18.75">
      <c r="A564" s="14"/>
      <c r="B564" s="14"/>
      <c r="C564" s="91"/>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row>
    <row r="565" spans="1:28" ht="18.75">
      <c r="A565" s="14"/>
      <c r="B565" s="14"/>
      <c r="C565" s="91"/>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row>
    <row r="566" spans="1:28" ht="18.75">
      <c r="A566" s="14"/>
      <c r="B566" s="14"/>
      <c r="C566" s="91"/>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row>
    <row r="567" spans="1:28" ht="18.75">
      <c r="A567" s="14"/>
      <c r="B567" s="14"/>
      <c r="C567" s="91"/>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row>
    <row r="568" spans="1:28" ht="18.75">
      <c r="A568" s="14"/>
      <c r="B568" s="14"/>
      <c r="C568" s="91"/>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row>
    <row r="569" spans="1:28" ht="18.75">
      <c r="A569" s="14"/>
      <c r="B569" s="14"/>
      <c r="C569" s="91"/>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row>
    <row r="570" spans="1:28" ht="18.75">
      <c r="A570" s="14"/>
      <c r="B570" s="14"/>
      <c r="C570" s="91"/>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row>
    <row r="571" spans="1:28" ht="18.75">
      <c r="A571" s="14"/>
      <c r="B571" s="14"/>
      <c r="C571" s="91"/>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row>
    <row r="572" spans="1:28" ht="18.75">
      <c r="A572" s="14"/>
      <c r="B572" s="14"/>
      <c r="C572" s="91"/>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row>
    <row r="573" spans="1:28" ht="18.75">
      <c r="A573" s="14"/>
      <c r="B573" s="14"/>
      <c r="C573" s="91"/>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row>
    <row r="574" spans="1:28" ht="18.75">
      <c r="A574" s="14"/>
      <c r="B574" s="14"/>
      <c r="C574" s="91"/>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row>
    <row r="575" spans="1:28" ht="18.75">
      <c r="A575" s="14"/>
      <c r="B575" s="14"/>
      <c r="C575" s="91"/>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row>
    <row r="576" spans="1:28" ht="18.75">
      <c r="A576" s="14"/>
      <c r="B576" s="14"/>
      <c r="C576" s="91"/>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row>
    <row r="577" spans="1:28" ht="18.75">
      <c r="A577" s="14"/>
      <c r="B577" s="14"/>
      <c r="C577" s="91"/>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row>
    <row r="578" spans="1:28" ht="18.75">
      <c r="A578" s="14"/>
      <c r="B578" s="14"/>
      <c r="C578" s="91"/>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row>
    <row r="579" spans="1:28" ht="18.75">
      <c r="A579" s="14"/>
      <c r="B579" s="14"/>
      <c r="C579" s="91"/>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row>
    <row r="580" spans="1:28" ht="18.75">
      <c r="A580" s="14"/>
      <c r="B580" s="14"/>
      <c r="C580" s="91"/>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row>
    <row r="581" spans="1:28" ht="18.75">
      <c r="A581" s="14"/>
      <c r="B581" s="14"/>
      <c r="C581" s="91"/>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row>
    <row r="582" spans="1:28" ht="18.75">
      <c r="A582" s="14"/>
      <c r="B582" s="14"/>
      <c r="C582" s="91"/>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row>
    <row r="583" spans="1:28" ht="18.75">
      <c r="A583" s="14"/>
      <c r="B583" s="14"/>
      <c r="C583" s="91"/>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row>
    <row r="584" spans="1:28" ht="18.75">
      <c r="A584" s="14"/>
      <c r="B584" s="14"/>
      <c r="C584" s="91"/>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row>
    <row r="585" spans="1:28" ht="18.75">
      <c r="A585" s="14"/>
      <c r="B585" s="14"/>
      <c r="C585" s="91"/>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row>
    <row r="586" spans="1:28" ht="18.75">
      <c r="A586" s="14"/>
      <c r="B586" s="14"/>
      <c r="C586" s="91"/>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row>
    <row r="587" spans="1:28" ht="18.75">
      <c r="A587" s="14"/>
      <c r="B587" s="14"/>
      <c r="C587" s="91"/>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row>
    <row r="588" spans="1:28" ht="18.75">
      <c r="A588" s="14"/>
      <c r="B588" s="14"/>
      <c r="C588" s="91"/>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row>
    <row r="589" spans="1:28" ht="18.75">
      <c r="A589" s="14"/>
      <c r="B589" s="14"/>
      <c r="C589" s="91"/>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row>
    <row r="590" spans="1:28" ht="18.75">
      <c r="A590" s="14"/>
      <c r="B590" s="14"/>
      <c r="C590" s="91"/>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row>
    <row r="591" spans="1:28" ht="18.75">
      <c r="A591" s="14"/>
      <c r="B591" s="14"/>
      <c r="C591" s="91"/>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row>
    <row r="592" spans="1:28" ht="18.75">
      <c r="A592" s="14"/>
      <c r="B592" s="14"/>
      <c r="C592" s="91"/>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row>
    <row r="593" spans="1:28" ht="18.75">
      <c r="A593" s="14"/>
      <c r="B593" s="14"/>
      <c r="C593" s="91"/>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row>
    <row r="594" spans="1:28" ht="18.75">
      <c r="A594" s="14"/>
      <c r="B594" s="14"/>
      <c r="C594" s="91"/>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row>
    <row r="595" spans="1:28" ht="18.75">
      <c r="A595" s="14"/>
      <c r="B595" s="14"/>
      <c r="C595" s="91"/>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row>
    <row r="596" spans="1:28" ht="18.75">
      <c r="A596" s="14"/>
      <c r="B596" s="14"/>
      <c r="C596" s="91"/>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row>
    <row r="597" spans="1:28" ht="18.75">
      <c r="A597" s="14"/>
      <c r="B597" s="14"/>
      <c r="C597" s="91"/>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row>
    <row r="598" spans="1:28" ht="18.75">
      <c r="A598" s="14"/>
      <c r="B598" s="14"/>
      <c r="C598" s="91"/>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row>
    <row r="599" spans="1:28" ht="18.75">
      <c r="A599" s="14"/>
      <c r="B599" s="14"/>
      <c r="C599" s="91"/>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row>
    <row r="600" spans="1:28" ht="18.75">
      <c r="A600" s="14"/>
      <c r="B600" s="14"/>
      <c r="C600" s="91"/>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row>
    <row r="601" spans="1:28" ht="18.75">
      <c r="A601" s="14"/>
      <c r="B601" s="14"/>
      <c r="C601" s="91"/>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row>
    <row r="602" spans="1:28" ht="18.75">
      <c r="A602" s="14"/>
      <c r="B602" s="14"/>
      <c r="C602" s="91"/>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row>
    <row r="603" spans="1:28" ht="18.75">
      <c r="A603" s="14"/>
      <c r="B603" s="14"/>
      <c r="C603" s="91"/>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row>
    <row r="604" spans="1:28" ht="18.75">
      <c r="A604" s="14"/>
      <c r="B604" s="14"/>
      <c r="C604" s="91"/>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row>
    <row r="605" spans="1:28" ht="18.75">
      <c r="A605" s="14"/>
      <c r="B605" s="14"/>
      <c r="C605" s="91"/>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row>
    <row r="606" spans="1:28" ht="18.75">
      <c r="A606" s="14"/>
      <c r="B606" s="14"/>
      <c r="C606" s="91"/>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row>
    <row r="607" spans="1:28" ht="18.75">
      <c r="A607" s="14"/>
      <c r="B607" s="14"/>
      <c r="C607" s="91"/>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row>
    <row r="608" spans="1:28" ht="18.75">
      <c r="A608" s="14"/>
      <c r="B608" s="14"/>
      <c r="C608" s="91"/>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row>
    <row r="609" spans="1:28" ht="18.75">
      <c r="A609" s="14"/>
      <c r="B609" s="14"/>
      <c r="C609" s="91"/>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row>
    <row r="610" spans="1:28" ht="18.75">
      <c r="A610" s="14"/>
      <c r="B610" s="14"/>
      <c r="C610" s="91"/>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row>
    <row r="611" spans="1:28" ht="18.75">
      <c r="A611" s="14"/>
      <c r="B611" s="14"/>
      <c r="C611" s="91"/>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row>
    <row r="612" spans="1:28" ht="18.75">
      <c r="A612" s="14"/>
      <c r="B612" s="14"/>
      <c r="C612" s="91"/>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row>
    <row r="613" spans="1:28" ht="18.75">
      <c r="A613" s="14"/>
      <c r="B613" s="14"/>
      <c r="C613" s="91"/>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row>
    <row r="614" spans="1:28" ht="18.75">
      <c r="A614" s="14"/>
      <c r="B614" s="14"/>
      <c r="C614" s="91"/>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row>
    <row r="615" spans="1:28" ht="18.75">
      <c r="A615" s="14"/>
      <c r="B615" s="14"/>
      <c r="C615" s="91"/>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row>
    <row r="616" spans="1:28" ht="18.75">
      <c r="A616" s="14"/>
      <c r="B616" s="14"/>
      <c r="C616" s="91"/>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row>
    <row r="617" spans="1:28" ht="18.75">
      <c r="A617" s="14"/>
      <c r="B617" s="14"/>
      <c r="C617" s="91"/>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row>
    <row r="618" spans="1:28" ht="18.75">
      <c r="A618" s="14"/>
      <c r="B618" s="14"/>
      <c r="C618" s="91"/>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row>
    <row r="619" spans="1:28" ht="18.75">
      <c r="A619" s="14"/>
      <c r="B619" s="14"/>
      <c r="C619" s="91"/>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row>
    <row r="620" spans="1:28" ht="18.75">
      <c r="A620" s="14"/>
      <c r="B620" s="14"/>
      <c r="C620" s="91"/>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row>
    <row r="621" spans="1:28" ht="18.75">
      <c r="A621" s="14"/>
      <c r="B621" s="14"/>
      <c r="C621" s="91"/>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row>
    <row r="622" spans="1:28" ht="18.75">
      <c r="A622" s="14"/>
      <c r="B622" s="14"/>
      <c r="C622" s="91"/>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row>
    <row r="623" spans="1:28" ht="18.75">
      <c r="A623" s="14"/>
      <c r="B623" s="14"/>
      <c r="C623" s="91"/>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row>
    <row r="624" spans="1:28" ht="18.75">
      <c r="A624" s="14"/>
      <c r="B624" s="14"/>
      <c r="C624" s="91"/>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row>
    <row r="625" spans="1:28" ht="18.75">
      <c r="A625" s="14"/>
      <c r="B625" s="14"/>
      <c r="C625" s="91"/>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row>
    <row r="626" spans="1:28" ht="18.75">
      <c r="A626" s="14"/>
      <c r="B626" s="14"/>
      <c r="C626" s="91"/>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row>
    <row r="627" spans="1:28" ht="18.75">
      <c r="A627" s="14"/>
      <c r="B627" s="14"/>
      <c r="C627" s="91"/>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row>
    <row r="628" spans="1:28" ht="18.75">
      <c r="A628" s="14"/>
      <c r="B628" s="14"/>
      <c r="C628" s="91"/>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row>
    <row r="629" spans="1:28" ht="18.75">
      <c r="A629" s="14"/>
      <c r="B629" s="14"/>
      <c r="C629" s="91"/>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row>
    <row r="630" spans="1:28" ht="18.75">
      <c r="A630" s="14"/>
      <c r="B630" s="14"/>
      <c r="C630" s="91"/>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row>
    <row r="631" spans="1:28" ht="18.75">
      <c r="A631" s="14"/>
      <c r="B631" s="14"/>
      <c r="C631" s="91"/>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row>
    <row r="632" spans="1:28" ht="18.75">
      <c r="A632" s="14"/>
      <c r="B632" s="14"/>
      <c r="C632" s="91"/>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row>
    <row r="633" spans="1:28" ht="18.75">
      <c r="A633" s="14"/>
      <c r="B633" s="14"/>
      <c r="C633" s="91"/>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row>
    <row r="634" spans="1:28" ht="18.75">
      <c r="A634" s="14"/>
      <c r="B634" s="14"/>
      <c r="C634" s="91"/>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row>
    <row r="635" spans="1:28" ht="18.75">
      <c r="A635" s="14"/>
      <c r="B635" s="14"/>
      <c r="C635" s="91"/>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row>
    <row r="636" spans="1:28" ht="18.75">
      <c r="A636" s="14"/>
      <c r="B636" s="14"/>
      <c r="C636" s="91"/>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row>
    <row r="637" spans="1:28" ht="18.75">
      <c r="A637" s="14"/>
      <c r="B637" s="14"/>
      <c r="C637" s="91"/>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row>
    <row r="638" spans="1:28" ht="18.75">
      <c r="A638" s="14"/>
      <c r="B638" s="14"/>
      <c r="C638" s="91"/>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row>
    <row r="639" spans="1:28" ht="18.75">
      <c r="A639" s="14"/>
      <c r="B639" s="14"/>
      <c r="C639" s="91"/>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row>
    <row r="640" spans="1:28" ht="18.75">
      <c r="A640" s="14"/>
      <c r="B640" s="14"/>
      <c r="C640" s="91"/>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row>
    <row r="641" spans="1:28" ht="18.75">
      <c r="A641" s="14"/>
      <c r="B641" s="14"/>
      <c r="C641" s="91"/>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row>
    <row r="642" spans="1:28" ht="18.75">
      <c r="A642" s="14"/>
      <c r="B642" s="14"/>
      <c r="C642" s="91"/>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row>
    <row r="643" spans="1:28" ht="18.75">
      <c r="A643" s="14"/>
      <c r="B643" s="14"/>
      <c r="C643" s="91"/>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row>
    <row r="644" spans="1:28" ht="18.75">
      <c r="A644" s="14"/>
      <c r="B644" s="14"/>
      <c r="C644" s="91"/>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row>
    <row r="645" spans="1:28" ht="18.75">
      <c r="A645" s="14"/>
      <c r="B645" s="14"/>
      <c r="C645" s="91"/>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row>
    <row r="646" spans="1:28" ht="18.75">
      <c r="A646" s="14"/>
      <c r="B646" s="14"/>
      <c r="C646" s="91"/>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row>
    <row r="647" spans="1:28" ht="18.75">
      <c r="A647" s="14"/>
      <c r="B647" s="14"/>
      <c r="C647" s="91"/>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row>
    <row r="648" spans="1:28" ht="18.75">
      <c r="A648" s="14"/>
      <c r="B648" s="14"/>
      <c r="C648" s="91"/>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row>
    <row r="649" spans="1:28" ht="18.75">
      <c r="A649" s="14"/>
      <c r="B649" s="14"/>
      <c r="C649" s="91"/>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row>
    <row r="650" spans="1:28" ht="18.75">
      <c r="A650" s="14"/>
      <c r="B650" s="14"/>
      <c r="C650" s="91"/>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row>
    <row r="651" spans="1:28" ht="18.75">
      <c r="A651" s="14"/>
      <c r="B651" s="14"/>
      <c r="C651" s="91"/>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row>
    <row r="652" spans="1:28" ht="18.75">
      <c r="A652" s="14"/>
      <c r="B652" s="14"/>
      <c r="C652" s="91"/>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row>
    <row r="653" spans="1:28" ht="18.75">
      <c r="A653" s="14"/>
      <c r="B653" s="14"/>
      <c r="C653" s="91"/>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row>
    <row r="654" spans="1:28" ht="18.75">
      <c r="A654" s="14"/>
      <c r="B654" s="14"/>
      <c r="C654" s="91"/>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row>
    <row r="655" spans="1:28" ht="18.75">
      <c r="A655" s="14"/>
      <c r="B655" s="14"/>
      <c r="C655" s="91"/>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row>
    <row r="656" spans="1:28" ht="18.75">
      <c r="A656" s="14"/>
      <c r="B656" s="14"/>
      <c r="C656" s="91"/>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row>
    <row r="657" spans="1:28" ht="18.75">
      <c r="A657" s="14"/>
      <c r="B657" s="14"/>
      <c r="C657" s="91"/>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row>
    <row r="658" spans="1:28" ht="18.75">
      <c r="A658" s="14"/>
      <c r="B658" s="14"/>
      <c r="C658" s="91"/>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row>
    <row r="659" spans="1:28" ht="18.75">
      <c r="A659" s="14"/>
      <c r="B659" s="14"/>
      <c r="C659" s="91"/>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row>
    <row r="660" spans="1:28" ht="18.75">
      <c r="A660" s="14"/>
      <c r="B660" s="14"/>
      <c r="C660" s="91"/>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row>
    <row r="661" spans="1:28" ht="18.75">
      <c r="A661" s="14"/>
      <c r="B661" s="14"/>
      <c r="C661" s="91"/>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row>
    <row r="662" spans="1:28" ht="18.75">
      <c r="A662" s="14"/>
      <c r="B662" s="14"/>
      <c r="C662" s="91"/>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row>
    <row r="663" spans="1:28" ht="18.75">
      <c r="A663" s="14"/>
      <c r="B663" s="14"/>
      <c r="C663" s="91"/>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row>
    <row r="664" spans="1:28" ht="18.75">
      <c r="A664" s="14"/>
      <c r="B664" s="14"/>
      <c r="C664" s="91"/>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row>
    <row r="665" spans="1:28" ht="18.75">
      <c r="A665" s="14"/>
      <c r="B665" s="14"/>
      <c r="C665" s="91"/>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row>
    <row r="666" spans="1:28" ht="18.75">
      <c r="A666" s="14"/>
      <c r="B666" s="14"/>
      <c r="C666" s="91"/>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row>
    <row r="667" spans="1:28" ht="18.75">
      <c r="A667" s="14"/>
      <c r="B667" s="14"/>
      <c r="C667" s="91"/>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row>
    <row r="668" spans="1:28" ht="18.75">
      <c r="A668" s="14"/>
      <c r="B668" s="14"/>
      <c r="C668" s="91"/>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row>
    <row r="669" spans="1:28" ht="18.75">
      <c r="A669" s="14"/>
      <c r="B669" s="14"/>
      <c r="C669" s="91"/>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row>
    <row r="670" spans="1:28" ht="18.75">
      <c r="A670" s="14"/>
      <c r="B670" s="14"/>
      <c r="C670" s="91"/>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row>
    <row r="671" spans="1:28" ht="18.75">
      <c r="A671" s="14"/>
      <c r="B671" s="14"/>
      <c r="C671" s="91"/>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row>
    <row r="672" spans="1:28" ht="18.75">
      <c r="A672" s="14"/>
      <c r="B672" s="14"/>
      <c r="C672" s="91"/>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row>
    <row r="673" spans="1:28" ht="18.75">
      <c r="A673" s="14"/>
      <c r="B673" s="14"/>
      <c r="C673" s="91"/>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row>
    <row r="674" spans="1:28" ht="18.75">
      <c r="A674" s="14"/>
      <c r="B674" s="14"/>
      <c r="C674" s="91"/>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row>
    <row r="675" spans="1:28" ht="18.75">
      <c r="A675" s="14"/>
      <c r="B675" s="14"/>
      <c r="C675" s="91"/>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row>
    <row r="676" spans="1:28" ht="18.75">
      <c r="A676" s="14"/>
      <c r="B676" s="14"/>
      <c r="C676" s="91"/>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row>
    <row r="677" spans="1:28" ht="18.75">
      <c r="A677" s="14"/>
      <c r="B677" s="14"/>
      <c r="C677" s="91"/>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row>
    <row r="678" spans="1:28" ht="18.75">
      <c r="A678" s="14"/>
      <c r="B678" s="14"/>
      <c r="C678" s="91"/>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row>
    <row r="679" spans="1:28" ht="18.75">
      <c r="A679" s="14"/>
      <c r="B679" s="14"/>
      <c r="C679" s="91"/>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row>
    <row r="680" spans="1:28" ht="18.75">
      <c r="A680" s="14"/>
      <c r="B680" s="14"/>
      <c r="C680" s="91"/>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row>
    <row r="681" spans="1:28" ht="18.75">
      <c r="A681" s="14"/>
      <c r="B681" s="14"/>
      <c r="C681" s="91"/>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row>
    <row r="682" spans="1:28" ht="18.75">
      <c r="A682" s="14"/>
      <c r="B682" s="14"/>
      <c r="C682" s="91"/>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row>
    <row r="683" spans="1:28" ht="18.75">
      <c r="A683" s="14"/>
      <c r="B683" s="14"/>
      <c r="C683" s="91"/>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row>
    <row r="684" spans="1:28" ht="18.75">
      <c r="A684" s="14"/>
      <c r="B684" s="14"/>
      <c r="C684" s="91"/>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row>
    <row r="685" spans="1:28" ht="18.75">
      <c r="A685" s="14"/>
      <c r="B685" s="14"/>
      <c r="C685" s="91"/>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row>
    <row r="686" spans="1:28" ht="18.75">
      <c r="A686" s="14"/>
      <c r="B686" s="14"/>
      <c r="C686" s="91"/>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row>
    <row r="687" spans="1:28" ht="18.75">
      <c r="A687" s="14"/>
      <c r="B687" s="14"/>
      <c r="C687" s="91"/>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row>
    <row r="688" spans="1:28" ht="18.75">
      <c r="A688" s="14"/>
      <c r="B688" s="14"/>
      <c r="C688" s="91"/>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row>
    <row r="689" spans="1:28" ht="18.75">
      <c r="A689" s="14"/>
      <c r="B689" s="14"/>
      <c r="C689" s="91"/>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row>
    <row r="690" spans="1:28" ht="18.75">
      <c r="A690" s="14"/>
      <c r="B690" s="14"/>
      <c r="C690" s="91"/>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row>
    <row r="691" spans="1:28" ht="18.75">
      <c r="A691" s="14"/>
      <c r="B691" s="14"/>
      <c r="C691" s="91"/>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row>
    <row r="692" spans="1:28" ht="18.75">
      <c r="A692" s="14"/>
      <c r="B692" s="14"/>
      <c r="C692" s="91"/>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row>
    <row r="693" spans="1:28" ht="18.75">
      <c r="A693" s="14"/>
      <c r="B693" s="14"/>
      <c r="C693" s="91"/>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row>
    <row r="694" spans="1:28" ht="18.75">
      <c r="A694" s="14"/>
      <c r="B694" s="14"/>
      <c r="C694" s="91"/>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row>
    <row r="695" spans="1:28" ht="18.75">
      <c r="A695" s="14"/>
      <c r="B695" s="14"/>
      <c r="C695" s="91"/>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row>
    <row r="696" spans="1:28" ht="18.75">
      <c r="A696" s="14"/>
      <c r="B696" s="14"/>
      <c r="C696" s="91"/>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row>
    <row r="697" spans="1:28" ht="18.75">
      <c r="A697" s="14"/>
      <c r="B697" s="14"/>
      <c r="C697" s="91"/>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row>
    <row r="698" spans="1:28" ht="18.75">
      <c r="A698" s="14"/>
      <c r="B698" s="14"/>
      <c r="C698" s="91"/>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row>
    <row r="699" spans="1:28" ht="18.75">
      <c r="A699" s="14"/>
      <c r="B699" s="14"/>
      <c r="C699" s="91"/>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row>
    <row r="700" spans="1:28" ht="18.75">
      <c r="A700" s="14"/>
      <c r="B700" s="14"/>
      <c r="C700" s="91"/>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row>
    <row r="701" spans="1:28" ht="18.75">
      <c r="A701" s="14"/>
      <c r="B701" s="14"/>
      <c r="C701" s="91"/>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row>
    <row r="702" spans="1:28" ht="18.75">
      <c r="A702" s="14"/>
      <c r="B702" s="14"/>
      <c r="C702" s="91"/>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row>
    <row r="703" spans="1:28" ht="18.75">
      <c r="A703" s="14"/>
      <c r="B703" s="14"/>
      <c r="C703" s="91"/>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row>
    <row r="704" spans="1:28" ht="18.75">
      <c r="A704" s="14"/>
      <c r="B704" s="14"/>
      <c r="C704" s="91"/>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row>
    <row r="705" spans="1:28" ht="18.75">
      <c r="A705" s="14"/>
      <c r="B705" s="14"/>
      <c r="C705" s="91"/>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row>
    <row r="706" spans="1:28" ht="18.75">
      <c r="A706" s="14"/>
      <c r="B706" s="14"/>
      <c r="C706" s="91"/>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row>
    <row r="707" spans="1:28" ht="18.75">
      <c r="A707" s="14"/>
      <c r="B707" s="14"/>
      <c r="C707" s="91"/>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row>
    <row r="708" spans="1:28" ht="18.75">
      <c r="A708" s="14"/>
      <c r="B708" s="14"/>
      <c r="C708" s="91"/>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row>
    <row r="709" spans="1:28" ht="18.75">
      <c r="A709" s="14"/>
      <c r="B709" s="14"/>
      <c r="C709" s="91"/>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row>
    <row r="710" spans="1:28" ht="18.75">
      <c r="A710" s="14"/>
      <c r="B710" s="14"/>
      <c r="C710" s="91"/>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row>
    <row r="711" spans="1:28" ht="18.75">
      <c r="A711" s="14"/>
      <c r="B711" s="14"/>
      <c r="C711" s="91"/>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row>
    <row r="712" spans="1:28" ht="18.75">
      <c r="A712" s="14"/>
      <c r="B712" s="14"/>
      <c r="C712" s="91"/>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row>
    <row r="713" spans="1:28" ht="18.75">
      <c r="A713" s="14"/>
      <c r="B713" s="14"/>
      <c r="C713" s="91"/>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row>
    <row r="714" spans="1:28" ht="18.75">
      <c r="A714" s="14"/>
      <c r="B714" s="14"/>
      <c r="C714" s="91"/>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row>
    <row r="715" spans="1:28" ht="18.75">
      <c r="A715" s="14"/>
      <c r="B715" s="14"/>
      <c r="C715" s="91"/>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row>
    <row r="716" spans="1:28" ht="18.75">
      <c r="A716" s="14"/>
      <c r="B716" s="14"/>
      <c r="C716" s="91"/>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row>
    <row r="717" spans="1:28" ht="18.75">
      <c r="A717" s="14"/>
      <c r="B717" s="14"/>
      <c r="C717" s="91"/>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row>
    <row r="718" spans="1:28" ht="18.75">
      <c r="A718" s="14"/>
      <c r="B718" s="14"/>
      <c r="C718" s="91"/>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row>
    <row r="719" spans="1:28" ht="18.75">
      <c r="A719" s="14"/>
      <c r="B719" s="14"/>
      <c r="C719" s="91"/>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row>
    <row r="720" spans="1:28" ht="18.75">
      <c r="A720" s="14"/>
      <c r="B720" s="14"/>
      <c r="C720" s="91"/>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row>
    <row r="721" spans="1:28" ht="18.75">
      <c r="A721" s="14"/>
      <c r="B721" s="14"/>
      <c r="C721" s="91"/>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row>
    <row r="722" spans="1:28" ht="18.75">
      <c r="A722" s="14"/>
      <c r="B722" s="14"/>
      <c r="C722" s="91"/>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row>
    <row r="723" spans="1:28" ht="18.75">
      <c r="A723" s="14"/>
      <c r="B723" s="14"/>
      <c r="C723" s="91"/>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row>
    <row r="724" spans="1:28" ht="18.75">
      <c r="A724" s="14"/>
      <c r="B724" s="14"/>
      <c r="C724" s="91"/>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row>
    <row r="725" spans="1:28" ht="18.75">
      <c r="A725" s="14"/>
      <c r="B725" s="14"/>
      <c r="C725" s="91"/>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row>
    <row r="726" spans="1:28" ht="18.75">
      <c r="A726" s="14"/>
      <c r="B726" s="14"/>
      <c r="C726" s="91"/>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row>
    <row r="727" spans="1:28" ht="18.75">
      <c r="A727" s="14"/>
      <c r="B727" s="14"/>
      <c r="C727" s="91"/>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row>
    <row r="728" spans="1:28" ht="18.75">
      <c r="A728" s="14"/>
      <c r="B728" s="14"/>
      <c r="C728" s="91"/>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row>
    <row r="729" spans="1:28" ht="18.75">
      <c r="A729" s="14"/>
      <c r="B729" s="14"/>
      <c r="C729" s="91"/>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row>
    <row r="730" spans="1:28" ht="18.75">
      <c r="A730" s="14"/>
      <c r="B730" s="14"/>
      <c r="C730" s="91"/>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row>
    <row r="731" spans="1:28" ht="18.75">
      <c r="A731" s="14"/>
      <c r="B731" s="14"/>
      <c r="C731" s="91"/>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row>
    <row r="732" spans="1:28" ht="18.75">
      <c r="A732" s="14"/>
      <c r="B732" s="14"/>
      <c r="C732" s="91"/>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row>
    <row r="733" spans="1:28" ht="18.75">
      <c r="A733" s="14"/>
      <c r="B733" s="14"/>
      <c r="C733" s="91"/>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row>
    <row r="734" spans="1:28" ht="18.75">
      <c r="A734" s="14"/>
      <c r="B734" s="14"/>
      <c r="C734" s="91"/>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row>
    <row r="735" spans="1:28" ht="18.75">
      <c r="A735" s="14"/>
      <c r="B735" s="14"/>
      <c r="C735" s="91"/>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row>
    <row r="736" spans="1:28" ht="18.75">
      <c r="A736" s="14"/>
      <c r="B736" s="14"/>
      <c r="C736" s="91"/>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row>
    <row r="737" spans="1:28" ht="18.75">
      <c r="A737" s="14"/>
      <c r="B737" s="14"/>
      <c r="C737" s="91"/>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row>
    <row r="738" spans="1:28" ht="18.75">
      <c r="A738" s="14"/>
      <c r="B738" s="14"/>
      <c r="C738" s="91"/>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row>
    <row r="739" spans="1:28" ht="18.75">
      <c r="A739" s="14"/>
      <c r="B739" s="14"/>
      <c r="C739" s="91"/>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row>
    <row r="740" spans="1:28" ht="18.75">
      <c r="A740" s="14"/>
      <c r="B740" s="14"/>
      <c r="C740" s="91"/>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row>
    <row r="741" spans="1:28" ht="18.75">
      <c r="A741" s="14"/>
      <c r="B741" s="14"/>
      <c r="C741" s="91"/>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row>
    <row r="742" spans="1:28" ht="18.75">
      <c r="A742" s="14"/>
      <c r="B742" s="14"/>
      <c r="C742" s="91"/>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row>
    <row r="743" spans="1:28" ht="18.75">
      <c r="A743" s="14"/>
      <c r="B743" s="14"/>
      <c r="C743" s="91"/>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row>
    <row r="744" spans="1:28" ht="18.75">
      <c r="A744" s="14"/>
      <c r="B744" s="14"/>
      <c r="C744" s="91"/>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row>
    <row r="745" spans="1:28" ht="18.75">
      <c r="A745" s="14"/>
      <c r="B745" s="14"/>
      <c r="C745" s="91"/>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row>
    <row r="746" spans="1:28" ht="18.75">
      <c r="A746" s="14"/>
      <c r="B746" s="14"/>
      <c r="C746" s="91"/>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row>
    <row r="747" spans="1:28" ht="18.75">
      <c r="A747" s="14"/>
      <c r="B747" s="14"/>
      <c r="C747" s="91"/>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row>
    <row r="748" spans="1:28" ht="18.75">
      <c r="A748" s="14"/>
      <c r="B748" s="14"/>
      <c r="C748" s="91"/>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row>
    <row r="749" spans="1:28" ht="18.75">
      <c r="A749" s="14"/>
      <c r="B749" s="14"/>
      <c r="C749" s="91"/>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row>
    <row r="750" spans="1:28" ht="18.75">
      <c r="A750" s="14"/>
      <c r="B750" s="14"/>
      <c r="C750" s="91"/>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row>
    <row r="751" spans="1:28" ht="18.75">
      <c r="A751" s="14"/>
      <c r="B751" s="14"/>
      <c r="C751" s="91"/>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row>
    <row r="752" spans="1:28" ht="18.75">
      <c r="A752" s="14"/>
      <c r="B752" s="14"/>
      <c r="C752" s="91"/>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row>
    <row r="753" spans="1:28" ht="18.75">
      <c r="A753" s="14"/>
      <c r="B753" s="14"/>
      <c r="C753" s="91"/>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row>
    <row r="754" spans="1:28" ht="18.75">
      <c r="A754" s="14"/>
      <c r="B754" s="14"/>
      <c r="C754" s="91"/>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row>
    <row r="755" spans="1:28" ht="18.75">
      <c r="A755" s="14"/>
      <c r="B755" s="14"/>
      <c r="C755" s="91"/>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row>
    <row r="756" spans="1:28" ht="18.75">
      <c r="A756" s="14"/>
      <c r="B756" s="14"/>
      <c r="C756" s="91"/>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row>
    <row r="757" spans="1:28" ht="18.75">
      <c r="A757" s="14"/>
      <c r="B757" s="14"/>
      <c r="C757" s="91"/>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row>
    <row r="758" spans="1:28" ht="18.75">
      <c r="A758" s="14"/>
      <c r="B758" s="14"/>
      <c r="C758" s="91"/>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row>
    <row r="759" spans="1:28" ht="18.75">
      <c r="A759" s="14"/>
      <c r="B759" s="14"/>
      <c r="C759" s="91"/>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row>
    <row r="760" spans="1:28" ht="18.75">
      <c r="A760" s="14"/>
      <c r="B760" s="14"/>
      <c r="C760" s="91"/>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row>
    <row r="761" spans="1:28" ht="18.75">
      <c r="A761" s="14"/>
      <c r="B761" s="14"/>
      <c r="C761" s="91"/>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row>
    <row r="762" spans="1:28" ht="18.75">
      <c r="A762" s="14"/>
      <c r="B762" s="14"/>
      <c r="C762" s="91"/>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row>
    <row r="763" spans="1:28" ht="18.75">
      <c r="A763" s="14"/>
      <c r="B763" s="14"/>
      <c r="C763" s="91"/>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row>
    <row r="764" spans="1:28" ht="18.75">
      <c r="A764" s="14"/>
      <c r="B764" s="14"/>
      <c r="C764" s="91"/>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row>
    <row r="765" spans="1:28" ht="18.75">
      <c r="A765" s="14"/>
      <c r="B765" s="14"/>
      <c r="C765" s="91"/>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row>
    <row r="766" spans="1:28" ht="18.75">
      <c r="A766" s="14"/>
      <c r="B766" s="14"/>
      <c r="C766" s="91"/>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row>
    <row r="767" spans="1:28" ht="18.75">
      <c r="A767" s="14"/>
      <c r="B767" s="14"/>
      <c r="C767" s="91"/>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row>
    <row r="768" spans="1:28" ht="18.75">
      <c r="A768" s="14"/>
      <c r="B768" s="14"/>
      <c r="C768" s="91"/>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row>
    <row r="769" spans="1:28" ht="18.75">
      <c r="A769" s="14"/>
      <c r="B769" s="14"/>
      <c r="C769" s="91"/>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row>
    <row r="770" spans="1:28" ht="18.75">
      <c r="A770" s="14"/>
      <c r="B770" s="14"/>
      <c r="C770" s="91"/>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row>
    <row r="771" spans="1:28" ht="18.75">
      <c r="A771" s="14"/>
      <c r="B771" s="14"/>
      <c r="C771" s="91"/>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row>
    <row r="772" spans="1:28" ht="18.75">
      <c r="A772" s="14"/>
      <c r="B772" s="14"/>
      <c r="C772" s="91"/>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row>
    <row r="773" spans="1:28" ht="18.75">
      <c r="A773" s="14"/>
      <c r="B773" s="14"/>
      <c r="C773" s="91"/>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row>
    <row r="774" spans="1:28" ht="18.75">
      <c r="A774" s="14"/>
      <c r="B774" s="14"/>
      <c r="C774" s="91"/>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row>
    <row r="775" spans="1:28" ht="18.75">
      <c r="A775" s="14"/>
      <c r="B775" s="14"/>
      <c r="C775" s="91"/>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row>
    <row r="776" spans="1:28" ht="18.75">
      <c r="A776" s="14"/>
      <c r="B776" s="14"/>
      <c r="C776" s="91"/>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row>
    <row r="777" spans="1:28" ht="18.75">
      <c r="A777" s="14"/>
      <c r="B777" s="14"/>
      <c r="C777" s="91"/>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row>
    <row r="778" spans="1:28" ht="18.75">
      <c r="A778" s="14"/>
      <c r="B778" s="14"/>
      <c r="C778" s="91"/>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row>
    <row r="779" spans="1:28" ht="18.75">
      <c r="A779" s="14"/>
      <c r="B779" s="14"/>
      <c r="C779" s="91"/>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row>
    <row r="780" spans="1:28" ht="18.75">
      <c r="A780" s="14"/>
      <c r="B780" s="14"/>
      <c r="C780" s="91"/>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row>
    <row r="781" spans="1:28" ht="18.75">
      <c r="A781" s="14"/>
      <c r="B781" s="14"/>
      <c r="C781" s="91"/>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row>
    <row r="782" spans="1:28" ht="18.75">
      <c r="A782" s="14"/>
      <c r="B782" s="14"/>
      <c r="C782" s="91"/>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row>
    <row r="783" spans="1:28" ht="18.75">
      <c r="A783" s="14"/>
      <c r="B783" s="14"/>
      <c r="C783" s="91"/>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row>
    <row r="784" spans="1:28" ht="18.75">
      <c r="A784" s="14"/>
      <c r="B784" s="14"/>
      <c r="C784" s="91"/>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row>
    <row r="785" spans="1:28" ht="18.75">
      <c r="A785" s="14"/>
      <c r="B785" s="14"/>
      <c r="C785" s="91"/>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row>
    <row r="786" spans="1:28" ht="18.75">
      <c r="A786" s="14"/>
      <c r="B786" s="14"/>
      <c r="C786" s="91"/>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row>
    <row r="787" spans="1:28" ht="18.75">
      <c r="A787" s="14"/>
      <c r="B787" s="14"/>
      <c r="C787" s="91"/>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row>
    <row r="788" spans="1:28" ht="18.75">
      <c r="A788" s="14"/>
      <c r="B788" s="14"/>
      <c r="C788" s="91"/>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row>
    <row r="789" spans="1:28" ht="18.75">
      <c r="A789" s="14"/>
      <c r="B789" s="14"/>
      <c r="C789" s="91"/>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row>
    <row r="790" spans="1:28" ht="18.75">
      <c r="A790" s="14"/>
      <c r="B790" s="14"/>
      <c r="C790" s="91"/>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row>
    <row r="791" spans="1:28" ht="18.75">
      <c r="A791" s="14"/>
      <c r="B791" s="14"/>
      <c r="C791" s="91"/>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row>
    <row r="792" spans="1:28" ht="18.75">
      <c r="A792" s="14"/>
      <c r="B792" s="14"/>
      <c r="C792" s="91"/>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row>
    <row r="793" spans="1:28" ht="18.75">
      <c r="A793" s="14"/>
      <c r="B793" s="14"/>
      <c r="C793" s="91"/>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row>
    <row r="794" spans="1:28" ht="18.75">
      <c r="A794" s="14"/>
      <c r="B794" s="14"/>
      <c r="C794" s="91"/>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row>
    <row r="795" spans="1:28" ht="18.75">
      <c r="A795" s="14"/>
      <c r="B795" s="14"/>
      <c r="C795" s="91"/>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row>
    <row r="796" spans="1:28" ht="18.75">
      <c r="A796" s="14"/>
      <c r="B796" s="14"/>
      <c r="C796" s="91"/>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row>
    <row r="797" spans="1:28" ht="18.75">
      <c r="A797" s="14"/>
      <c r="B797" s="14"/>
      <c r="C797" s="91"/>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row>
    <row r="798" spans="1:28" ht="18.75">
      <c r="A798" s="14"/>
      <c r="B798" s="14"/>
      <c r="C798" s="91"/>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row>
    <row r="799" spans="1:28" ht="18.75">
      <c r="A799" s="14"/>
      <c r="B799" s="14"/>
      <c r="C799" s="91"/>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row>
    <row r="800" spans="1:28" ht="18.75">
      <c r="A800" s="14"/>
      <c r="B800" s="14"/>
      <c r="C800" s="91"/>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row>
    <row r="801" spans="1:28" ht="18.75">
      <c r="A801" s="14"/>
      <c r="B801" s="14"/>
      <c r="C801" s="91"/>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row>
    <row r="802" spans="1:28" ht="18.75">
      <c r="A802" s="14"/>
      <c r="B802" s="14"/>
      <c r="C802" s="91"/>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row>
    <row r="803" spans="1:28" ht="18.75">
      <c r="A803" s="14"/>
      <c r="B803" s="14"/>
      <c r="C803" s="91"/>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row>
    <row r="804" spans="1:28" ht="18.75">
      <c r="A804" s="14"/>
      <c r="B804" s="14"/>
      <c r="C804" s="91"/>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row>
    <row r="805" spans="1:28" ht="18.75">
      <c r="A805" s="14"/>
      <c r="B805" s="14"/>
      <c r="C805" s="91"/>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row>
    <row r="806" spans="1:28" ht="18.75">
      <c r="A806" s="14"/>
      <c r="B806" s="14"/>
      <c r="C806" s="91"/>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row>
    <row r="807" spans="1:28" ht="18.75">
      <c r="A807" s="14"/>
      <c r="B807" s="14"/>
      <c r="C807" s="91"/>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row>
    <row r="808" spans="1:28" ht="18.75">
      <c r="A808" s="14"/>
      <c r="B808" s="14"/>
      <c r="C808" s="91"/>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row>
    <row r="809" spans="1:28" ht="18.75">
      <c r="A809" s="14"/>
      <c r="B809" s="14"/>
      <c r="C809" s="91"/>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row>
    <row r="810" spans="1:28" ht="18.75">
      <c r="A810" s="14"/>
      <c r="B810" s="14"/>
      <c r="C810" s="91"/>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row>
    <row r="811" spans="1:28" ht="18.75">
      <c r="A811" s="14"/>
      <c r="B811" s="14"/>
      <c r="C811" s="91"/>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row>
    <row r="812" spans="1:28" ht="18.75">
      <c r="A812" s="14"/>
      <c r="B812" s="14"/>
      <c r="C812" s="91"/>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row>
    <row r="813" spans="1:28" ht="18.75">
      <c r="A813" s="14"/>
      <c r="B813" s="14"/>
      <c r="C813" s="91"/>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row>
    <row r="814" spans="1:28" ht="18.75">
      <c r="A814" s="14"/>
      <c r="B814" s="14"/>
      <c r="C814" s="91"/>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row>
    <row r="815" spans="1:28" ht="18.75">
      <c r="A815" s="14"/>
      <c r="B815" s="14"/>
      <c r="C815" s="91"/>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row>
    <row r="816" spans="1:28" ht="18.75">
      <c r="A816" s="14"/>
      <c r="B816" s="14"/>
      <c r="C816" s="91"/>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row>
    <row r="817" spans="1:28" ht="18.75">
      <c r="A817" s="14"/>
      <c r="B817" s="14"/>
      <c r="C817" s="91"/>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row>
    <row r="818" spans="1:28" ht="18.75">
      <c r="A818" s="14"/>
      <c r="B818" s="14"/>
      <c r="C818" s="91"/>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row>
    <row r="819" spans="1:28" ht="18.75">
      <c r="A819" s="14"/>
      <c r="B819" s="14"/>
      <c r="C819" s="91"/>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row>
    <row r="820" spans="1:28" ht="18.75">
      <c r="A820" s="14"/>
      <c r="B820" s="14"/>
      <c r="C820" s="91"/>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row>
    <row r="821" spans="1:28" ht="18.75">
      <c r="A821" s="14"/>
      <c r="B821" s="14"/>
      <c r="C821" s="91"/>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row>
    <row r="822" spans="1:28" ht="18.75">
      <c r="A822" s="14"/>
      <c r="B822" s="14"/>
      <c r="C822" s="91"/>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row>
    <row r="823" spans="1:28" ht="18.75">
      <c r="A823" s="14"/>
      <c r="B823" s="14"/>
      <c r="C823" s="91"/>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row>
    <row r="824" spans="1:28" ht="18.75">
      <c r="A824" s="14"/>
      <c r="B824" s="14"/>
      <c r="C824" s="91"/>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row>
    <row r="825" spans="1:28" ht="18.75">
      <c r="A825" s="14"/>
      <c r="B825" s="14"/>
      <c r="C825" s="91"/>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row>
    <row r="826" spans="1:28" ht="18.75">
      <c r="A826" s="14"/>
      <c r="B826" s="14"/>
      <c r="C826" s="91"/>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row>
    <row r="827" spans="1:28" ht="18.75">
      <c r="A827" s="14"/>
      <c r="B827" s="14"/>
      <c r="C827" s="91"/>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row>
    <row r="828" spans="1:28" ht="18.75">
      <c r="A828" s="14"/>
      <c r="B828" s="14"/>
      <c r="C828" s="91"/>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row>
    <row r="829" spans="1:28" ht="18.75">
      <c r="A829" s="14"/>
      <c r="B829" s="14"/>
      <c r="C829" s="91"/>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row>
    <row r="830" spans="1:28" ht="18.75">
      <c r="A830" s="14"/>
      <c r="B830" s="14"/>
      <c r="C830" s="91"/>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row>
    <row r="831" spans="1:28" ht="18.75">
      <c r="A831" s="14"/>
      <c r="B831" s="14"/>
      <c r="C831" s="91"/>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row>
    <row r="832" spans="1:28" ht="18.75">
      <c r="A832" s="14"/>
      <c r="B832" s="14"/>
      <c r="C832" s="91"/>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row>
    <row r="833" spans="1:28" ht="18.75">
      <c r="A833" s="14"/>
      <c r="B833" s="14"/>
      <c r="C833" s="91"/>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row>
    <row r="834" spans="1:28" ht="18.75">
      <c r="A834" s="14"/>
      <c r="B834" s="14"/>
      <c r="C834" s="91"/>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row>
    <row r="835" spans="1:28" ht="18.75">
      <c r="A835" s="14"/>
      <c r="B835" s="14"/>
      <c r="C835" s="91"/>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row>
    <row r="836" spans="1:28" ht="18.75">
      <c r="A836" s="14"/>
      <c r="B836" s="14"/>
      <c r="C836" s="91"/>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row>
    <row r="837" spans="1:28" ht="18.75">
      <c r="A837" s="14"/>
      <c r="B837" s="14"/>
      <c r="C837" s="91"/>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row>
    <row r="838" spans="1:28" ht="18.75">
      <c r="A838" s="14"/>
      <c r="B838" s="14"/>
      <c r="C838" s="91"/>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row>
    <row r="839" spans="1:28" ht="18.75">
      <c r="A839" s="14"/>
      <c r="B839" s="14"/>
      <c r="C839" s="91"/>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row>
    <row r="840" spans="1:28" ht="18.75">
      <c r="A840" s="14"/>
      <c r="B840" s="14"/>
      <c r="C840" s="91"/>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row>
    <row r="841" spans="1:28" ht="18.75">
      <c r="A841" s="14"/>
      <c r="B841" s="14"/>
      <c r="C841" s="91"/>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row>
    <row r="842" spans="1:28" ht="18.75">
      <c r="A842" s="14"/>
      <c r="B842" s="14"/>
      <c r="C842" s="91"/>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row>
    <row r="843" spans="1:28" ht="18.75">
      <c r="A843" s="14"/>
      <c r="B843" s="14"/>
      <c r="C843" s="91"/>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row>
    <row r="844" spans="1:28" ht="18.75">
      <c r="A844" s="14"/>
      <c r="B844" s="14"/>
      <c r="C844" s="91"/>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row>
    <row r="845" spans="1:28" ht="18.75">
      <c r="A845" s="14"/>
      <c r="B845" s="14"/>
      <c r="C845" s="91"/>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row>
    <row r="846" spans="1:28" ht="18.75">
      <c r="A846" s="14"/>
      <c r="B846" s="14"/>
      <c r="C846" s="91"/>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row>
    <row r="847" spans="1:28" ht="18.75">
      <c r="A847" s="14"/>
      <c r="B847" s="14"/>
      <c r="C847" s="91"/>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row>
    <row r="848" spans="1:28" ht="18.75">
      <c r="A848" s="14"/>
      <c r="B848" s="14"/>
      <c r="C848" s="91"/>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row>
    <row r="849" spans="1:28" ht="18.75">
      <c r="A849" s="14"/>
      <c r="B849" s="14"/>
      <c r="C849" s="91"/>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row>
    <row r="850" spans="1:28" ht="18.75">
      <c r="A850" s="14"/>
      <c r="B850" s="14"/>
      <c r="C850" s="91"/>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row>
    <row r="851" spans="1:28" ht="18.75">
      <c r="A851" s="14"/>
      <c r="B851" s="14"/>
      <c r="C851" s="91"/>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row>
    <row r="852" spans="1:28" ht="18.75">
      <c r="A852" s="14"/>
      <c r="B852" s="14"/>
      <c r="C852" s="91"/>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row>
    <row r="853" spans="1:28" ht="18.75">
      <c r="A853" s="14"/>
      <c r="B853" s="14"/>
      <c r="C853" s="91"/>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row>
    <row r="854" spans="1:28" ht="18.75">
      <c r="A854" s="14"/>
      <c r="B854" s="14"/>
      <c r="C854" s="91"/>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row>
    <row r="855" spans="1:28" ht="18.75">
      <c r="A855" s="14"/>
      <c r="B855" s="14"/>
      <c r="C855" s="91"/>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row>
    <row r="856" spans="1:28" ht="18.75">
      <c r="A856" s="14"/>
      <c r="B856" s="14"/>
      <c r="C856" s="91"/>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row>
    <row r="857" spans="1:28" ht="18.75">
      <c r="A857" s="14"/>
      <c r="B857" s="14"/>
      <c r="C857" s="91"/>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row>
    <row r="858" spans="1:28" ht="18.75">
      <c r="A858" s="14"/>
      <c r="B858" s="14"/>
      <c r="C858" s="91"/>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row>
    <row r="859" spans="1:28" ht="18.75">
      <c r="A859" s="14"/>
      <c r="B859" s="14"/>
      <c r="C859" s="91"/>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row>
    <row r="860" spans="1:28" ht="18.75">
      <c r="A860" s="14"/>
      <c r="B860" s="14"/>
      <c r="C860" s="91"/>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row>
    <row r="861" spans="1:28" ht="18.75">
      <c r="A861" s="14"/>
      <c r="B861" s="14"/>
      <c r="C861" s="91"/>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row>
    <row r="862" spans="1:28" ht="18.75">
      <c r="A862" s="14"/>
      <c r="B862" s="14"/>
      <c r="C862" s="91"/>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row>
    <row r="863" spans="1:28" ht="18.75">
      <c r="A863" s="14"/>
      <c r="B863" s="14"/>
      <c r="C863" s="91"/>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row>
    <row r="864" spans="1:28" ht="18.75">
      <c r="A864" s="14"/>
      <c r="B864" s="14"/>
      <c r="C864" s="91"/>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row>
    <row r="865" spans="1:28" ht="18.75">
      <c r="A865" s="14"/>
      <c r="B865" s="14"/>
      <c r="C865" s="91"/>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row>
    <row r="866" spans="1:28" ht="18.75">
      <c r="A866" s="14"/>
      <c r="B866" s="14"/>
      <c r="C866" s="91"/>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row>
    <row r="867" spans="1:28" ht="18.75">
      <c r="A867" s="14"/>
      <c r="B867" s="14"/>
      <c r="C867" s="91"/>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row>
    <row r="868" spans="1:28" ht="18.75">
      <c r="A868" s="14"/>
      <c r="B868" s="14"/>
      <c r="C868" s="91"/>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row>
    <row r="869" spans="1:28" ht="18.75">
      <c r="A869" s="14"/>
      <c r="B869" s="14"/>
      <c r="C869" s="91"/>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row>
    <row r="870" spans="1:28" ht="18.75">
      <c r="A870" s="14"/>
      <c r="B870" s="14"/>
      <c r="C870" s="91"/>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row>
    <row r="871" spans="1:28" ht="18.75">
      <c r="A871" s="14"/>
      <c r="B871" s="14"/>
      <c r="C871" s="91"/>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row>
    <row r="872" spans="1:28" ht="18.75">
      <c r="A872" s="14"/>
      <c r="B872" s="14"/>
      <c r="C872" s="91"/>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row>
    <row r="873" spans="1:28" ht="18.75">
      <c r="A873" s="14"/>
      <c r="B873" s="14"/>
      <c r="C873" s="91"/>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row>
    <row r="874" spans="1:28" ht="18.75">
      <c r="A874" s="14"/>
      <c r="B874" s="14"/>
      <c r="C874" s="91"/>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row>
    <row r="875" spans="1:28" ht="18.75">
      <c r="A875" s="14"/>
      <c r="B875" s="14"/>
      <c r="C875" s="91"/>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row>
    <row r="876" spans="1:28" ht="18.75">
      <c r="A876" s="14"/>
      <c r="B876" s="14"/>
      <c r="C876" s="91"/>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row>
    <row r="877" spans="1:28" ht="18.75">
      <c r="A877" s="14"/>
      <c r="B877" s="14"/>
      <c r="C877" s="91"/>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row>
    <row r="878" spans="1:28" ht="18.75">
      <c r="A878" s="14"/>
      <c r="B878" s="14"/>
      <c r="C878" s="91"/>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row>
    <row r="879" spans="1:28" ht="18.75">
      <c r="A879" s="14"/>
      <c r="B879" s="14"/>
      <c r="C879" s="91"/>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row>
    <row r="880" spans="1:28" ht="18.75">
      <c r="A880" s="14"/>
      <c r="B880" s="14"/>
      <c r="C880" s="91"/>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row>
    <row r="881" spans="1:28" ht="18.75">
      <c r="A881" s="14"/>
      <c r="B881" s="14"/>
      <c r="C881" s="91"/>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row>
    <row r="882" spans="1:28" ht="18.75">
      <c r="A882" s="14"/>
      <c r="B882" s="14"/>
      <c r="C882" s="91"/>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row>
    <row r="883" spans="1:28" ht="18.75">
      <c r="A883" s="14"/>
      <c r="B883" s="14"/>
      <c r="C883" s="91"/>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row>
    <row r="884" spans="1:28" ht="18.75">
      <c r="A884" s="14"/>
      <c r="B884" s="14"/>
      <c r="C884" s="91"/>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row>
    <row r="885" spans="1:28" ht="18.75">
      <c r="A885" s="14"/>
      <c r="B885" s="14"/>
      <c r="C885" s="91"/>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row>
    <row r="886" spans="1:28" ht="18.75">
      <c r="A886" s="14"/>
      <c r="B886" s="14"/>
      <c r="C886" s="91"/>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row>
    <row r="887" spans="1:28" ht="18.75">
      <c r="A887" s="14"/>
      <c r="B887" s="14"/>
      <c r="C887" s="91"/>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row>
    <row r="888" spans="1:28" ht="18.75">
      <c r="A888" s="14"/>
      <c r="B888" s="14"/>
      <c r="C888" s="91"/>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row>
    <row r="889" spans="1:28" ht="18.75">
      <c r="A889" s="14"/>
      <c r="B889" s="14"/>
      <c r="C889" s="91"/>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row>
    <row r="890" spans="1:28" ht="18.75">
      <c r="A890" s="14"/>
      <c r="B890" s="14"/>
      <c r="C890" s="91"/>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row>
    <row r="891" spans="1:28" ht="18.75">
      <c r="A891" s="14"/>
      <c r="B891" s="14"/>
      <c r="C891" s="91"/>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row>
    <row r="892" spans="1:28" ht="18.75">
      <c r="A892" s="14"/>
      <c r="B892" s="14"/>
      <c r="C892" s="91"/>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row>
    <row r="893" spans="1:28" ht="18.75">
      <c r="A893" s="14"/>
      <c r="B893" s="14"/>
      <c r="C893" s="91"/>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row>
    <row r="894" spans="1:28" ht="18.75">
      <c r="A894" s="14"/>
      <c r="B894" s="14"/>
      <c r="C894" s="91"/>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row>
    <row r="895" spans="1:28" ht="18.75">
      <c r="A895" s="14"/>
      <c r="B895" s="14"/>
      <c r="C895" s="91"/>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row>
    <row r="896" spans="1:28" ht="18.75">
      <c r="A896" s="14"/>
      <c r="B896" s="14"/>
      <c r="C896" s="91"/>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row>
    <row r="897" spans="1:28" ht="18.75">
      <c r="A897" s="14"/>
      <c r="B897" s="14"/>
      <c r="C897" s="91"/>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row>
    <row r="898" spans="1:28" ht="18.75">
      <c r="A898" s="14"/>
      <c r="B898" s="14"/>
      <c r="C898" s="91"/>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row>
    <row r="899" spans="1:28" ht="18.75">
      <c r="A899" s="14"/>
      <c r="B899" s="14"/>
      <c r="C899" s="91"/>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row>
    <row r="900" spans="1:28" ht="18.75">
      <c r="A900" s="14"/>
      <c r="B900" s="14"/>
      <c r="C900" s="91"/>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row>
    <row r="901" spans="1:28" ht="18.75">
      <c r="A901" s="14"/>
      <c r="B901" s="14"/>
      <c r="C901" s="91"/>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row>
    <row r="902" spans="1:28" ht="18.75">
      <c r="A902" s="14"/>
      <c r="B902" s="14"/>
      <c r="C902" s="91"/>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row>
    <row r="903" spans="1:28" ht="18.75">
      <c r="A903" s="14"/>
      <c r="B903" s="14"/>
      <c r="C903" s="91"/>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row>
    <row r="904" spans="1:28" ht="18.75">
      <c r="A904" s="14"/>
      <c r="B904" s="14"/>
      <c r="C904" s="91"/>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row>
    <row r="905" spans="1:28" ht="18.75">
      <c r="A905" s="14"/>
      <c r="B905" s="14"/>
      <c r="C905" s="91"/>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row>
    <row r="906" spans="1:28" ht="18.75">
      <c r="A906" s="14"/>
      <c r="B906" s="14"/>
      <c r="C906" s="91"/>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row>
    <row r="907" spans="1:28" ht="18.75">
      <c r="A907" s="14"/>
      <c r="B907" s="14"/>
      <c r="C907" s="91"/>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row>
    <row r="908" spans="1:28" ht="18.75">
      <c r="A908" s="14"/>
      <c r="B908" s="14"/>
      <c r="C908" s="91"/>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row>
    <row r="909" spans="1:28" ht="18.75">
      <c r="A909" s="14"/>
      <c r="B909" s="14"/>
      <c r="C909" s="91"/>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row>
    <row r="910" spans="1:28" ht="18.75">
      <c r="A910" s="14"/>
      <c r="B910" s="14"/>
      <c r="C910" s="91"/>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row>
    <row r="911" spans="1:28" ht="18.75">
      <c r="A911" s="14"/>
      <c r="B911" s="14"/>
      <c r="C911" s="91"/>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row>
    <row r="912" spans="1:28" ht="18.75">
      <c r="A912" s="14"/>
      <c r="B912" s="14"/>
      <c r="C912" s="91"/>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row>
    <row r="913" spans="1:28" ht="18.75">
      <c r="A913" s="14"/>
      <c r="B913" s="14"/>
      <c r="C913" s="91"/>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row>
    <row r="914" spans="1:28" ht="18.75">
      <c r="A914" s="14"/>
      <c r="B914" s="14"/>
      <c r="C914" s="91"/>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row>
    <row r="915" spans="1:28" ht="18.75">
      <c r="A915" s="14"/>
      <c r="B915" s="14"/>
      <c r="C915" s="91"/>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row>
    <row r="916" spans="1:28" ht="18.75">
      <c r="A916" s="14"/>
      <c r="B916" s="14"/>
      <c r="C916" s="91"/>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row>
    <row r="917" spans="1:28" ht="18.75">
      <c r="A917" s="14"/>
      <c r="B917" s="14"/>
      <c r="C917" s="91"/>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row>
    <row r="918" spans="1:28" ht="18.75">
      <c r="A918" s="14"/>
      <c r="B918" s="14"/>
      <c r="C918" s="91"/>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row>
    <row r="919" spans="1:28" ht="18.75">
      <c r="A919" s="14"/>
      <c r="B919" s="14"/>
      <c r="C919" s="91"/>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row>
    <row r="920" spans="1:28" ht="18.75">
      <c r="A920" s="14"/>
      <c r="B920" s="14"/>
      <c r="C920" s="91"/>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row>
    <row r="921" spans="1:28" ht="18.75">
      <c r="A921" s="14"/>
      <c r="B921" s="14"/>
      <c r="C921" s="91"/>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row>
    <row r="922" spans="1:28" ht="18.75">
      <c r="A922" s="14"/>
      <c r="B922" s="14"/>
      <c r="C922" s="91"/>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row>
    <row r="923" spans="1:28" ht="18.75">
      <c r="A923" s="14"/>
      <c r="B923" s="14"/>
      <c r="C923" s="91"/>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row>
    <row r="924" spans="1:28" ht="18.75">
      <c r="A924" s="14"/>
      <c r="B924" s="14"/>
      <c r="C924" s="91"/>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row>
    <row r="925" spans="1:28" ht="18.75">
      <c r="A925" s="14"/>
      <c r="B925" s="14"/>
      <c r="C925" s="91"/>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row>
    <row r="926" spans="1:28" ht="18.75">
      <c r="A926" s="14"/>
      <c r="B926" s="14"/>
      <c r="C926" s="91"/>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row>
    <row r="927" spans="1:28" ht="18.75">
      <c r="A927" s="14"/>
      <c r="B927" s="14"/>
      <c r="C927" s="91"/>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row>
    <row r="928" spans="1:28" ht="18.75">
      <c r="A928" s="14"/>
      <c r="B928" s="14"/>
      <c r="C928" s="91"/>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row>
    <row r="929" spans="1:28" ht="18.75">
      <c r="A929" s="14"/>
      <c r="B929" s="14"/>
      <c r="C929" s="91"/>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row>
    <row r="930" spans="1:28" ht="18.75">
      <c r="A930" s="14"/>
      <c r="B930" s="14"/>
      <c r="C930" s="91"/>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row>
    <row r="931" spans="1:28" ht="18.75">
      <c r="A931" s="14"/>
      <c r="B931" s="14"/>
      <c r="C931" s="91"/>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row>
    <row r="932" spans="1:28" ht="18.75">
      <c r="A932" s="14"/>
      <c r="B932" s="14"/>
      <c r="C932" s="91"/>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row>
    <row r="933" spans="1:28" ht="18.75">
      <c r="A933" s="14"/>
      <c r="B933" s="14"/>
      <c r="C933" s="91"/>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row>
    <row r="934" spans="1:28" ht="18.75">
      <c r="A934" s="14"/>
      <c r="B934" s="14"/>
      <c r="C934" s="91"/>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row>
    <row r="935" spans="1:28" ht="18.75">
      <c r="A935" s="14"/>
      <c r="B935" s="14"/>
      <c r="C935" s="91"/>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row>
    <row r="936" spans="1:28" ht="18.75">
      <c r="A936" s="14"/>
      <c r="B936" s="14"/>
      <c r="C936" s="91"/>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row>
    <row r="937" spans="1:28" ht="18.75">
      <c r="A937" s="14"/>
      <c r="B937" s="14"/>
      <c r="C937" s="91"/>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row>
    <row r="938" spans="1:28" ht="18.75">
      <c r="A938" s="14"/>
      <c r="B938" s="14"/>
      <c r="C938" s="91"/>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row>
    <row r="939" spans="1:28" ht="18.75">
      <c r="A939" s="14"/>
      <c r="B939" s="14"/>
      <c r="C939" s="91"/>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row>
    <row r="940" spans="1:28" ht="18.75">
      <c r="A940" s="14"/>
      <c r="B940" s="14"/>
      <c r="C940" s="91"/>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row>
    <row r="941" spans="1:28" ht="18.75">
      <c r="A941" s="14"/>
      <c r="B941" s="14"/>
      <c r="C941" s="91"/>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row>
    <row r="942" spans="1:28" ht="18.75">
      <c r="A942" s="14"/>
      <c r="B942" s="14"/>
      <c r="C942" s="91"/>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row>
    <row r="943" spans="1:28" ht="18.75">
      <c r="A943" s="14"/>
      <c r="B943" s="14"/>
      <c r="C943" s="91"/>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row>
    <row r="944" spans="1:28" ht="18.75">
      <c r="A944" s="14"/>
      <c r="B944" s="14"/>
      <c r="C944" s="91"/>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row>
    <row r="945" spans="1:28" ht="18.75">
      <c r="A945" s="14"/>
      <c r="B945" s="14"/>
      <c r="C945" s="91"/>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row>
    <row r="946" spans="1:28" ht="18.75">
      <c r="A946" s="14"/>
      <c r="B946" s="14"/>
      <c r="C946" s="91"/>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row>
    <row r="947" spans="1:28" ht="18.75">
      <c r="A947" s="14"/>
      <c r="B947" s="14"/>
      <c r="C947" s="91"/>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row>
    <row r="948" spans="1:28" ht="18.75">
      <c r="A948" s="14"/>
      <c r="B948" s="14"/>
      <c r="C948" s="91"/>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row>
    <row r="949" spans="1:28" ht="18.75">
      <c r="A949" s="14"/>
      <c r="B949" s="14"/>
      <c r="C949" s="91"/>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row>
    <row r="950" spans="1:28" ht="18.75">
      <c r="A950" s="14"/>
      <c r="B950" s="14"/>
      <c r="C950" s="91"/>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row>
    <row r="951" spans="1:28" ht="18.75">
      <c r="A951" s="14"/>
      <c r="B951" s="14"/>
      <c r="C951" s="91"/>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row>
    <row r="952" spans="1:28" ht="18.75">
      <c r="A952" s="14"/>
      <c r="B952" s="14"/>
      <c r="C952" s="91"/>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row>
    <row r="953" spans="1:28" ht="18.75">
      <c r="A953" s="14"/>
      <c r="B953" s="14"/>
      <c r="C953" s="91"/>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row>
    <row r="954" spans="1:28" ht="18.75">
      <c r="A954" s="14"/>
      <c r="B954" s="14"/>
      <c r="C954" s="91"/>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row>
    <row r="955" spans="1:28" ht="18.75">
      <c r="A955" s="14"/>
      <c r="B955" s="14"/>
      <c r="C955" s="91"/>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row>
    <row r="956" spans="1:28" ht="18.75">
      <c r="A956" s="14"/>
      <c r="B956" s="14"/>
      <c r="C956" s="91"/>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row>
    <row r="957" spans="1:28" ht="18.75">
      <c r="A957" s="14"/>
      <c r="B957" s="14"/>
      <c r="C957" s="91"/>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row>
    <row r="958" spans="1:28" ht="18.75">
      <c r="A958" s="14"/>
      <c r="B958" s="14"/>
      <c r="C958" s="91"/>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row>
    <row r="959" spans="1:28" ht="18.75">
      <c r="A959" s="14"/>
      <c r="B959" s="14"/>
      <c r="C959" s="91"/>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row>
    <row r="960" spans="1:28" ht="18.75">
      <c r="A960" s="14"/>
      <c r="B960" s="14"/>
      <c r="C960" s="91"/>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row>
    <row r="961" spans="1:28" ht="18.75">
      <c r="A961" s="14"/>
      <c r="B961" s="14"/>
      <c r="C961" s="91"/>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row>
    <row r="962" spans="1:28" ht="18.75">
      <c r="A962" s="14"/>
      <c r="B962" s="14"/>
      <c r="C962" s="91"/>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row>
    <row r="963" spans="1:28" ht="18.75">
      <c r="A963" s="14"/>
      <c r="B963" s="14"/>
      <c r="C963" s="91"/>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row>
    <row r="964" spans="1:28" ht="18.75">
      <c r="A964" s="14"/>
      <c r="B964" s="14"/>
      <c r="C964" s="91"/>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row>
    <row r="965" spans="1:28" ht="18.75">
      <c r="A965" s="14"/>
      <c r="B965" s="14"/>
      <c r="C965" s="91"/>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row>
    <row r="966" spans="1:28" ht="18.75">
      <c r="A966" s="14"/>
      <c r="B966" s="14"/>
      <c r="C966" s="91"/>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row>
    <row r="967" spans="1:28" ht="18.75">
      <c r="A967" s="14"/>
      <c r="B967" s="14"/>
      <c r="C967" s="91"/>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row>
    <row r="968" spans="1:28" ht="18.75">
      <c r="A968" s="14"/>
      <c r="B968" s="14"/>
      <c r="C968" s="91"/>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row>
    <row r="969" spans="1:28" ht="18.75">
      <c r="A969" s="14"/>
      <c r="B969" s="14"/>
      <c r="C969" s="91"/>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row>
    <row r="970" spans="1:28" ht="18.75">
      <c r="A970" s="14"/>
      <c r="B970" s="14"/>
      <c r="C970" s="91"/>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row>
    <row r="971" spans="1:28" ht="18.75">
      <c r="A971" s="14"/>
      <c r="B971" s="14"/>
      <c r="C971" s="91"/>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row>
    <row r="972" spans="1:28" ht="18.75">
      <c r="A972" s="14"/>
      <c r="B972" s="14"/>
      <c r="C972" s="91"/>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row>
    <row r="973" spans="1:28" ht="18.75">
      <c r="A973" s="14"/>
      <c r="B973" s="14"/>
      <c r="C973" s="91"/>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row>
    <row r="974" spans="1:28" ht="18.75">
      <c r="A974" s="14"/>
      <c r="B974" s="14"/>
      <c r="C974" s="91"/>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row>
    <row r="975" spans="1:28" ht="18.75">
      <c r="A975" s="14"/>
      <c r="B975" s="14"/>
      <c r="C975" s="91"/>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row>
    <row r="976" spans="1:28" ht="18.75">
      <c r="A976" s="14"/>
      <c r="B976" s="14"/>
      <c r="C976" s="91"/>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row>
    <row r="977" spans="1:28" ht="18.75">
      <c r="A977" s="14"/>
      <c r="B977" s="14"/>
      <c r="C977" s="91"/>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row>
    <row r="978" spans="1:28" ht="18.75">
      <c r="A978" s="14"/>
      <c r="B978" s="14"/>
      <c r="C978" s="91"/>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row>
    <row r="979" spans="1:28" ht="18.75">
      <c r="A979" s="14"/>
      <c r="B979" s="14"/>
      <c r="C979" s="91"/>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row>
    <row r="980" spans="1:28" ht="18.75">
      <c r="A980" s="14"/>
      <c r="B980" s="14"/>
      <c r="C980" s="91"/>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row>
    <row r="981" spans="1:28" ht="18.75">
      <c r="A981" s="14"/>
      <c r="B981" s="14"/>
      <c r="C981" s="91"/>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row>
    <row r="982" spans="1:28" ht="18.75">
      <c r="A982" s="14"/>
      <c r="B982" s="14"/>
      <c r="C982" s="91"/>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row>
    <row r="983" spans="1:28" ht="18.75">
      <c r="A983" s="14"/>
      <c r="B983" s="14"/>
      <c r="C983" s="91"/>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row>
    <row r="984" spans="1:28" ht="18.75">
      <c r="A984" s="14"/>
      <c r="B984" s="14"/>
      <c r="C984" s="91"/>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row>
    <row r="985" spans="1:28" ht="18.75">
      <c r="A985" s="14"/>
      <c r="B985" s="14"/>
      <c r="C985" s="91"/>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row>
    <row r="986" spans="1:28" ht="18.75">
      <c r="A986" s="14"/>
      <c r="B986" s="14"/>
      <c r="C986" s="91"/>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row>
    <row r="987" spans="1:28" ht="18.75">
      <c r="A987" s="14"/>
      <c r="B987" s="14"/>
      <c r="C987" s="91"/>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row>
    <row r="988" spans="1:28" ht="18.75">
      <c r="A988" s="14"/>
      <c r="B988" s="14"/>
      <c r="C988" s="91"/>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row>
    <row r="989" spans="1:28" ht="18.75">
      <c r="A989" s="14"/>
      <c r="B989" s="14"/>
      <c r="C989" s="91"/>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row>
    <row r="990" spans="1:28" ht="18.75">
      <c r="A990" s="14"/>
      <c r="B990" s="14"/>
      <c r="C990" s="91"/>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row>
    <row r="991" spans="1:28" ht="18.75">
      <c r="A991" s="14"/>
      <c r="B991" s="14"/>
      <c r="C991" s="91"/>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row>
    <row r="992" spans="1:28" ht="18.75">
      <c r="A992" s="14"/>
      <c r="B992" s="14"/>
      <c r="C992" s="91"/>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row>
    <row r="993" spans="1:28" ht="18.75">
      <c r="A993" s="14"/>
      <c r="B993" s="14"/>
      <c r="C993" s="91"/>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row>
    <row r="994" spans="1:28" ht="18.75">
      <c r="A994" s="14"/>
      <c r="B994" s="14"/>
      <c r="C994" s="91"/>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row>
    <row r="995" spans="1:28" ht="18.75">
      <c r="A995" s="14"/>
      <c r="B995" s="14"/>
      <c r="C995" s="91"/>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row>
    <row r="996" spans="1:28" ht="18.75">
      <c r="A996" s="14"/>
      <c r="B996" s="14"/>
      <c r="C996" s="91"/>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row>
    <row r="997" spans="1:28" ht="18.75">
      <c r="A997" s="14"/>
      <c r="B997" s="14"/>
      <c r="C997" s="91"/>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c r="AB997" s="14"/>
    </row>
    <row r="998" spans="1:28" ht="18.75">
      <c r="A998" s="14"/>
      <c r="B998" s="14"/>
      <c r="C998" s="91"/>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c r="AB998" s="14"/>
    </row>
    <row r="999" spans="1:28" ht="18.75">
      <c r="A999" s="14"/>
      <c r="B999" s="14"/>
      <c r="C999" s="91"/>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c r="AB999" s="14"/>
    </row>
    <row r="1000" spans="1:28" ht="18.75">
      <c r="A1000" s="14"/>
      <c r="B1000" s="14"/>
      <c r="C1000" s="91"/>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c r="AB1000" s="14"/>
    </row>
    <row r="1001" spans="1:28" ht="18.75">
      <c r="A1001" s="14"/>
      <c r="B1001" s="14"/>
      <c r="C1001" s="91"/>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c r="AA1001" s="14"/>
      <c r="AB1001" s="14"/>
    </row>
    <row r="1002" spans="1:28" ht="18.75">
      <c r="A1002" s="14"/>
      <c r="B1002" s="14"/>
      <c r="C1002" s="91"/>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c r="AA1002" s="14"/>
      <c r="AB1002" s="14"/>
    </row>
    <row r="1003" spans="1:28" ht="18.75">
      <c r="A1003" s="14"/>
      <c r="B1003" s="14"/>
      <c r="C1003" s="91"/>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c r="AA1003" s="14"/>
      <c r="AB1003" s="14"/>
    </row>
    <row r="1004" spans="1:28" ht="18.75">
      <c r="A1004" s="14"/>
      <c r="B1004" s="14"/>
      <c r="C1004" s="91"/>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c r="AA1004" s="14"/>
      <c r="AB1004" s="14"/>
    </row>
    <row r="1005" spans="1:28" ht="18.75">
      <c r="A1005" s="14"/>
      <c r="B1005" s="14"/>
      <c r="C1005" s="91"/>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c r="AA1005" s="14"/>
      <c r="AB1005" s="14"/>
    </row>
    <row r="1006" spans="1:28" ht="18.75">
      <c r="A1006" s="14"/>
      <c r="B1006" s="14"/>
      <c r="C1006" s="91"/>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c r="AA1006" s="14"/>
      <c r="AB1006" s="14"/>
    </row>
    <row r="1007" spans="1:28" ht="18.75">
      <c r="A1007" s="14"/>
      <c r="B1007" s="14"/>
      <c r="C1007" s="91"/>
      <c r="D1007" s="14"/>
      <c r="E1007" s="14"/>
      <c r="F1007" s="14"/>
      <c r="G1007" s="14"/>
      <c r="H1007" s="14"/>
      <c r="I1007" s="14"/>
      <c r="J1007" s="14"/>
      <c r="K1007" s="14"/>
      <c r="L1007" s="14"/>
      <c r="M1007" s="14"/>
      <c r="N1007" s="14"/>
      <c r="O1007" s="14"/>
      <c r="P1007" s="14"/>
      <c r="Q1007" s="14"/>
      <c r="R1007" s="14"/>
      <c r="S1007" s="14"/>
      <c r="T1007" s="14"/>
      <c r="U1007" s="14"/>
      <c r="V1007" s="14"/>
      <c r="W1007" s="14"/>
      <c r="X1007" s="14"/>
      <c r="Y1007" s="14"/>
      <c r="Z1007" s="14"/>
      <c r="AA1007" s="14"/>
      <c r="AB1007" s="14"/>
    </row>
    <row r="1008" spans="1:28" ht="18.75">
      <c r="A1008" s="14"/>
      <c r="B1008" s="14"/>
      <c r="C1008" s="91"/>
      <c r="D1008" s="14"/>
      <c r="E1008" s="14"/>
      <c r="F1008" s="14"/>
      <c r="G1008" s="14"/>
      <c r="H1008" s="14"/>
      <c r="I1008" s="14"/>
      <c r="J1008" s="14"/>
      <c r="K1008" s="14"/>
      <c r="L1008" s="14"/>
      <c r="M1008" s="14"/>
      <c r="N1008" s="14"/>
      <c r="O1008" s="14"/>
      <c r="P1008" s="14"/>
      <c r="Q1008" s="14"/>
      <c r="R1008" s="14"/>
      <c r="S1008" s="14"/>
      <c r="T1008" s="14"/>
      <c r="U1008" s="14"/>
      <c r="V1008" s="14"/>
      <c r="W1008" s="14"/>
      <c r="X1008" s="14"/>
      <c r="Y1008" s="14"/>
      <c r="Z1008" s="14"/>
      <c r="AA1008" s="14"/>
      <c r="AB1008" s="14"/>
    </row>
    <row r="1009" spans="1:28" ht="18.75">
      <c r="A1009" s="14"/>
      <c r="B1009" s="14"/>
      <c r="C1009" s="91"/>
      <c r="D1009" s="14"/>
      <c r="E1009" s="14"/>
      <c r="F1009" s="14"/>
      <c r="G1009" s="14"/>
      <c r="H1009" s="14"/>
      <c r="I1009" s="14"/>
      <c r="J1009" s="14"/>
      <c r="K1009" s="14"/>
      <c r="L1009" s="14"/>
      <c r="M1009" s="14"/>
      <c r="N1009" s="14"/>
      <c r="O1009" s="14"/>
      <c r="P1009" s="14"/>
      <c r="Q1009" s="14"/>
      <c r="R1009" s="14"/>
      <c r="S1009" s="14"/>
      <c r="T1009" s="14"/>
      <c r="U1009" s="14"/>
      <c r="V1009" s="14"/>
      <c r="W1009" s="14"/>
      <c r="X1009" s="14"/>
      <c r="Y1009" s="14"/>
      <c r="Z1009" s="14"/>
      <c r="AA1009" s="14"/>
      <c r="AB1009" s="14"/>
    </row>
    <row r="1010" spans="1:28" ht="18.75">
      <c r="A1010" s="14"/>
      <c r="B1010" s="14"/>
      <c r="C1010" s="91"/>
      <c r="D1010" s="14"/>
      <c r="E1010" s="14"/>
      <c r="F1010" s="14"/>
      <c r="G1010" s="14"/>
      <c r="H1010" s="14"/>
      <c r="I1010" s="14"/>
      <c r="J1010" s="14"/>
      <c r="K1010" s="14"/>
      <c r="L1010" s="14"/>
      <c r="M1010" s="14"/>
      <c r="N1010" s="14"/>
      <c r="O1010" s="14"/>
      <c r="P1010" s="14"/>
      <c r="Q1010" s="14"/>
      <c r="R1010" s="14"/>
      <c r="S1010" s="14"/>
      <c r="T1010" s="14"/>
      <c r="U1010" s="14"/>
      <c r="V1010" s="14"/>
      <c r="W1010" s="14"/>
      <c r="X1010" s="14"/>
      <c r="Y1010" s="14"/>
      <c r="Z1010" s="14"/>
      <c r="AA1010" s="14"/>
      <c r="AB1010" s="14"/>
    </row>
    <row r="1011" spans="1:28" ht="18.75">
      <c r="A1011" s="14"/>
      <c r="B1011" s="14"/>
      <c r="C1011" s="91"/>
      <c r="D1011" s="14"/>
      <c r="E1011" s="14"/>
      <c r="F1011" s="14"/>
      <c r="G1011" s="14"/>
      <c r="H1011" s="14"/>
      <c r="I1011" s="14"/>
      <c r="J1011" s="14"/>
      <c r="K1011" s="14"/>
      <c r="L1011" s="14"/>
      <c r="M1011" s="14"/>
      <c r="N1011" s="14"/>
      <c r="O1011" s="14"/>
      <c r="P1011" s="14"/>
      <c r="Q1011" s="14"/>
      <c r="R1011" s="14"/>
      <c r="S1011" s="14"/>
      <c r="T1011" s="14"/>
      <c r="U1011" s="14"/>
      <c r="V1011" s="14"/>
      <c r="W1011" s="14"/>
      <c r="X1011" s="14"/>
      <c r="Y1011" s="14"/>
      <c r="Z1011" s="14"/>
      <c r="AA1011" s="14"/>
      <c r="AB1011" s="14"/>
    </row>
    <row r="1012" spans="1:28" ht="18.75">
      <c r="A1012" s="14"/>
      <c r="B1012" s="14"/>
      <c r="C1012" s="91"/>
      <c r="D1012" s="14"/>
      <c r="E1012" s="14"/>
      <c r="F1012" s="14"/>
      <c r="G1012" s="14"/>
      <c r="H1012" s="14"/>
      <c r="I1012" s="14"/>
      <c r="J1012" s="14"/>
      <c r="K1012" s="14"/>
      <c r="L1012" s="14"/>
      <c r="M1012" s="14"/>
      <c r="N1012" s="14"/>
      <c r="O1012" s="14"/>
      <c r="P1012" s="14"/>
      <c r="Q1012" s="14"/>
      <c r="R1012" s="14"/>
      <c r="S1012" s="14"/>
      <c r="T1012" s="14"/>
      <c r="U1012" s="14"/>
      <c r="V1012" s="14"/>
      <c r="W1012" s="14"/>
      <c r="X1012" s="14"/>
      <c r="Y1012" s="14"/>
      <c r="Z1012" s="14"/>
      <c r="AA1012" s="14"/>
      <c r="AB1012" s="14"/>
    </row>
    <row r="1013" spans="1:28" ht="18.75">
      <c r="A1013" s="14"/>
      <c r="B1013" s="14"/>
      <c r="C1013" s="91"/>
      <c r="D1013" s="14"/>
      <c r="E1013" s="14"/>
      <c r="F1013" s="14"/>
      <c r="G1013" s="14"/>
      <c r="H1013" s="14"/>
      <c r="I1013" s="14"/>
      <c r="J1013" s="14"/>
      <c r="K1013" s="14"/>
      <c r="L1013" s="14"/>
      <c r="M1013" s="14"/>
      <c r="N1013" s="14"/>
      <c r="O1013" s="14"/>
      <c r="P1013" s="14"/>
      <c r="Q1013" s="14"/>
      <c r="R1013" s="14"/>
      <c r="S1013" s="14"/>
      <c r="T1013" s="14"/>
      <c r="U1013" s="14"/>
      <c r="V1013" s="14"/>
      <c r="W1013" s="14"/>
      <c r="X1013" s="14"/>
      <c r="Y1013" s="14"/>
      <c r="Z1013" s="14"/>
      <c r="AA1013" s="14"/>
      <c r="AB1013" s="14"/>
    </row>
    <row r="1014" spans="1:28" ht="18.75">
      <c r="A1014" s="14"/>
      <c r="B1014" s="14"/>
      <c r="C1014" s="91"/>
      <c r="D1014" s="14"/>
      <c r="E1014" s="14"/>
      <c r="F1014" s="14"/>
      <c r="G1014" s="14"/>
      <c r="H1014" s="14"/>
      <c r="I1014" s="14"/>
      <c r="J1014" s="14"/>
      <c r="K1014" s="14"/>
      <c r="L1014" s="14"/>
      <c r="M1014" s="14"/>
      <c r="N1014" s="14"/>
      <c r="O1014" s="14"/>
      <c r="P1014" s="14"/>
      <c r="Q1014" s="14"/>
      <c r="R1014" s="14"/>
      <c r="S1014" s="14"/>
      <c r="T1014" s="14"/>
      <c r="U1014" s="14"/>
      <c r="V1014" s="14"/>
      <c r="W1014" s="14"/>
      <c r="X1014" s="14"/>
      <c r="Y1014" s="14"/>
      <c r="Z1014" s="14"/>
      <c r="AA1014" s="14"/>
      <c r="AB1014" s="14"/>
    </row>
    <row r="1015" spans="1:28" ht="18.75">
      <c r="A1015" s="14"/>
      <c r="B1015" s="14"/>
      <c r="C1015" s="91"/>
      <c r="D1015" s="14"/>
      <c r="E1015" s="14"/>
      <c r="F1015" s="14"/>
      <c r="G1015" s="14"/>
      <c r="H1015" s="14"/>
      <c r="I1015" s="14"/>
      <c r="J1015" s="14"/>
      <c r="K1015" s="14"/>
      <c r="L1015" s="14"/>
      <c r="M1015" s="14"/>
      <c r="N1015" s="14"/>
      <c r="O1015" s="14"/>
      <c r="P1015" s="14"/>
      <c r="Q1015" s="14"/>
      <c r="R1015" s="14"/>
      <c r="S1015" s="14"/>
      <c r="T1015" s="14"/>
      <c r="U1015" s="14"/>
      <c r="V1015" s="14"/>
      <c r="W1015" s="14"/>
      <c r="X1015" s="14"/>
      <c r="Y1015" s="14"/>
      <c r="Z1015" s="14"/>
      <c r="AA1015" s="14"/>
      <c r="AB1015" s="14"/>
    </row>
    <row r="1016" spans="1:28" ht="18.75">
      <c r="A1016" s="14"/>
      <c r="B1016" s="14"/>
      <c r="C1016" s="91"/>
      <c r="D1016" s="14"/>
      <c r="E1016" s="14"/>
      <c r="F1016" s="14"/>
      <c r="G1016" s="14"/>
      <c r="H1016" s="14"/>
      <c r="I1016" s="14"/>
      <c r="J1016" s="14"/>
      <c r="K1016" s="14"/>
      <c r="L1016" s="14"/>
      <c r="M1016" s="14"/>
      <c r="N1016" s="14"/>
      <c r="O1016" s="14"/>
      <c r="P1016" s="14"/>
      <c r="Q1016" s="14"/>
      <c r="R1016" s="14"/>
      <c r="S1016" s="14"/>
      <c r="T1016" s="14"/>
      <c r="U1016" s="14"/>
      <c r="V1016" s="14"/>
      <c r="W1016" s="14"/>
      <c r="X1016" s="14"/>
      <c r="Y1016" s="14"/>
      <c r="Z1016" s="14"/>
      <c r="AA1016" s="14"/>
      <c r="AB1016" s="14"/>
    </row>
    <row r="1017" spans="1:28" ht="18.75">
      <c r="A1017" s="14"/>
      <c r="B1017" s="14"/>
      <c r="C1017" s="91"/>
      <c r="D1017" s="14"/>
      <c r="E1017" s="14"/>
      <c r="F1017" s="14"/>
      <c r="G1017" s="14"/>
      <c r="H1017" s="14"/>
      <c r="I1017" s="14"/>
      <c r="J1017" s="14"/>
      <c r="K1017" s="14"/>
      <c r="L1017" s="14"/>
      <c r="M1017" s="14"/>
      <c r="N1017" s="14"/>
      <c r="O1017" s="14"/>
      <c r="P1017" s="14"/>
      <c r="Q1017" s="14"/>
      <c r="R1017" s="14"/>
      <c r="S1017" s="14"/>
      <c r="T1017" s="14"/>
      <c r="U1017" s="14"/>
      <c r="V1017" s="14"/>
      <c r="W1017" s="14"/>
      <c r="X1017" s="14"/>
      <c r="Y1017" s="14"/>
      <c r="Z1017" s="14"/>
      <c r="AA1017" s="14"/>
      <c r="AB1017" s="14"/>
    </row>
  </sheetData>
  <mergeCells count="159">
    <mergeCell ref="J26:J29"/>
    <mergeCell ref="J23:J25"/>
    <mergeCell ref="J65:J67"/>
    <mergeCell ref="J56:J57"/>
    <mergeCell ref="J68:J70"/>
    <mergeCell ref="J54:J55"/>
    <mergeCell ref="J51:J53"/>
    <mergeCell ref="J60:J61"/>
    <mergeCell ref="J30:J36"/>
    <mergeCell ref="G23:G25"/>
    <mergeCell ref="G26:G29"/>
    <mergeCell ref="F65:F67"/>
    <mergeCell ref="F42:F46"/>
    <mergeCell ref="F47:F50"/>
    <mergeCell ref="F56:F57"/>
    <mergeCell ref="E30:E36"/>
    <mergeCell ref="E37:E38"/>
    <mergeCell ref="G30:G36"/>
    <mergeCell ref="E26:E29"/>
    <mergeCell ref="E47:E50"/>
    <mergeCell ref="F40:F41"/>
    <mergeCell ref="F54:F55"/>
    <mergeCell ref="G54:G55"/>
    <mergeCell ref="E60:E62"/>
    <mergeCell ref="F60:F62"/>
    <mergeCell ref="E56:E57"/>
    <mergeCell ref="J2:J6"/>
    <mergeCell ref="J7:J10"/>
    <mergeCell ref="E7:E10"/>
    <mergeCell ref="F7:F10"/>
    <mergeCell ref="G19:G22"/>
    <mergeCell ref="G11:G14"/>
    <mergeCell ref="G15:G18"/>
    <mergeCell ref="F2:F6"/>
    <mergeCell ref="J19:J22"/>
    <mergeCell ref="G2:G6"/>
    <mergeCell ref="G7:G10"/>
    <mergeCell ref="E11:E14"/>
    <mergeCell ref="F11:F14"/>
    <mergeCell ref="F15:F18"/>
    <mergeCell ref="J11:J14"/>
    <mergeCell ref="J15:J17"/>
    <mergeCell ref="G56:G57"/>
    <mergeCell ref="G58:G59"/>
    <mergeCell ref="G60:G62"/>
    <mergeCell ref="G63:G64"/>
    <mergeCell ref="E65:E67"/>
    <mergeCell ref="E51:E53"/>
    <mergeCell ref="G65:G67"/>
    <mergeCell ref="G68:G71"/>
    <mergeCell ref="F51:F53"/>
    <mergeCell ref="E54:E55"/>
    <mergeCell ref="G51:G53"/>
    <mergeCell ref="E68:E71"/>
    <mergeCell ref="F68:F71"/>
    <mergeCell ref="J40:J41"/>
    <mergeCell ref="J47:J50"/>
    <mergeCell ref="J42:J46"/>
    <mergeCell ref="J37:J38"/>
    <mergeCell ref="E40:E41"/>
    <mergeCell ref="E42:E46"/>
    <mergeCell ref="G42:G46"/>
    <mergeCell ref="G40:G41"/>
    <mergeCell ref="G37:G38"/>
    <mergeCell ref="G47:G50"/>
    <mergeCell ref="I40:I41"/>
    <mergeCell ref="A2:A6"/>
    <mergeCell ref="A7:A10"/>
    <mergeCell ref="A26:A29"/>
    <mergeCell ref="C19:C22"/>
    <mergeCell ref="C7:C10"/>
    <mergeCell ref="D47:D50"/>
    <mergeCell ref="D51:D53"/>
    <mergeCell ref="A30:A36"/>
    <mergeCell ref="B30:B36"/>
    <mergeCell ref="C30:C36"/>
    <mergeCell ref="D30:D36"/>
    <mergeCell ref="B26:B29"/>
    <mergeCell ref="C26:C29"/>
    <mergeCell ref="A42:A46"/>
    <mergeCell ref="A40:A41"/>
    <mergeCell ref="B51:B53"/>
    <mergeCell ref="B40:B41"/>
    <mergeCell ref="B47:B50"/>
    <mergeCell ref="A47:A50"/>
    <mergeCell ref="C47:C50"/>
    <mergeCell ref="D2:D6"/>
    <mergeCell ref="E2:E6"/>
    <mergeCell ref="E15:E18"/>
    <mergeCell ref="D11:D14"/>
    <mergeCell ref="D7:D10"/>
    <mergeCell ref="C2:C6"/>
    <mergeCell ref="B2:B6"/>
    <mergeCell ref="B23:B25"/>
    <mergeCell ref="C23:C25"/>
    <mergeCell ref="B19:B22"/>
    <mergeCell ref="B15:B18"/>
    <mergeCell ref="B11:B14"/>
    <mergeCell ref="B7:B10"/>
    <mergeCell ref="A15:A18"/>
    <mergeCell ref="A11:A14"/>
    <mergeCell ref="D15:D18"/>
    <mergeCell ref="D19:D22"/>
    <mergeCell ref="E19:E22"/>
    <mergeCell ref="F19:F22"/>
    <mergeCell ref="F23:F25"/>
    <mergeCell ref="D23:D25"/>
    <mergeCell ref="E23:E25"/>
    <mergeCell ref="C15:C18"/>
    <mergeCell ref="C11:C14"/>
    <mergeCell ref="A23:A25"/>
    <mergeCell ref="A19:A22"/>
    <mergeCell ref="A68:A71"/>
    <mergeCell ref="C68:C71"/>
    <mergeCell ref="D68:D71"/>
    <mergeCell ref="D65:D67"/>
    <mergeCell ref="B68:B71"/>
    <mergeCell ref="A58:A59"/>
    <mergeCell ref="A54:A55"/>
    <mergeCell ref="C51:C53"/>
    <mergeCell ref="C54:C55"/>
    <mergeCell ref="D56:D57"/>
    <mergeCell ref="B58:B59"/>
    <mergeCell ref="B56:B57"/>
    <mergeCell ref="C58:C59"/>
    <mergeCell ref="B60:B62"/>
    <mergeCell ref="C60:C62"/>
    <mergeCell ref="D60:D62"/>
    <mergeCell ref="D26:D29"/>
    <mergeCell ref="A51:A53"/>
    <mergeCell ref="A56:A57"/>
    <mergeCell ref="B63:B64"/>
    <mergeCell ref="C63:C64"/>
    <mergeCell ref="D63:D64"/>
    <mergeCell ref="E63:E64"/>
    <mergeCell ref="F63:F64"/>
    <mergeCell ref="C65:C67"/>
    <mergeCell ref="B65:B67"/>
    <mergeCell ref="A60:A62"/>
    <mergeCell ref="A63:A64"/>
    <mergeCell ref="A65:A67"/>
    <mergeCell ref="D40:D41"/>
    <mergeCell ref="D37:D38"/>
    <mergeCell ref="D42:D46"/>
    <mergeCell ref="F26:F29"/>
    <mergeCell ref="A37:A38"/>
    <mergeCell ref="C37:C38"/>
    <mergeCell ref="B37:B38"/>
    <mergeCell ref="D58:D59"/>
    <mergeCell ref="B54:B55"/>
    <mergeCell ref="C56:C57"/>
    <mergeCell ref="D54:D55"/>
    <mergeCell ref="C40:C41"/>
    <mergeCell ref="B42:B46"/>
    <mergeCell ref="C42:C46"/>
    <mergeCell ref="F37:F38"/>
    <mergeCell ref="F30:F36"/>
    <mergeCell ref="E58:E59"/>
    <mergeCell ref="F58:F59"/>
  </mergeCells>
  <conditionalFormatting sqref="H7:H9">
    <cfRule type="notContainsBlanks" dxfId="0" priority="1">
      <formula>LEN(TRIM(H7))&gt;0</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Belo Monte</vt:lpstr>
      <vt:lpstr>Bacia Tapajós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Biviany</dc:creator>
  <cp:lastModifiedBy>Biviany</cp:lastModifiedBy>
  <dcterms:created xsi:type="dcterms:W3CDTF">2018-06-05T23:24:49Z</dcterms:created>
  <dcterms:modified xsi:type="dcterms:W3CDTF">2018-06-05T23:24:49Z</dcterms:modified>
</cp:coreProperties>
</file>